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showInkAnnotation="0" codeName="ЭтаКнига" defaultThemeVersion="124226"/>
  <xr:revisionPtr revIDLastSave="0" documentId="13_ncr:1_{EBE8C689-F9B9-4D62-B44C-921610C9370C}" xr6:coauthVersionLast="47" xr6:coauthVersionMax="47" xr10:uidLastSave="{00000000-0000-0000-0000-000000000000}"/>
  <bookViews>
    <workbookView xWindow="25800" yWindow="0" windowWidth="25800" windowHeight="21000" tabRatio="717" xr2:uid="{00000000-000D-0000-FFFF-FFFF00000000}"/>
  </bookViews>
  <sheets>
    <sheet name="Cover list" sheetId="21" r:id="rId1"/>
    <sheet name="BS" sheetId="171" r:id="rId2"/>
    <sheet name="P&amp;L" sheetId="172" r:id="rId3"/>
    <sheet name="P&amp;L quarterly" sheetId="168" r:id="rId4"/>
    <sheet name="CF" sheetId="173" r:id="rId5"/>
    <sheet name="Debt " sheetId="174" r:id="rId6"/>
    <sheet name="Bonds" sheetId="166" r:id="rId7"/>
    <sheet name="Ratings " sheetId="153" r:id="rId8"/>
    <sheet name="Operating results" sheetId="177" r:id="rId9"/>
    <sheet name="Geographical coverage " sheetId="175" r:id="rId10"/>
    <sheet name="Logistics coverage" sheetId="176" r:id="rId11"/>
    <sheet name="Archive (old data book)" sheetId="167" r:id="rId12"/>
  </sheets>
  <definedNames>
    <definedName name="_ftn1" localSheetId="8">'Operating results'!#REF!</definedName>
    <definedName name="_ftn2" localSheetId="8">'Operating results'!#REF!</definedName>
    <definedName name="_ftn3" localSheetId="8">'Operating results'!$AP$13</definedName>
    <definedName name="_ftnref1" localSheetId="8">'Operating results'!$AP$9</definedName>
    <definedName name="_ftnref2" localSheetId="8">'Operating results'!$AP$11</definedName>
    <definedName name="_ftnref3" localSheetId="8">'Operating results'!#REF!</definedName>
    <definedName name="OLE_LINK4" localSheetId="2">'P&amp;L'!$AI$31</definedName>
    <definedName name="OLE_LINK6" localSheetId="2">'P&amp;L'!#REF!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66" l="1"/>
  <c r="AM28" i="175"/>
  <c r="AL28" i="175"/>
  <c r="AK28" i="175"/>
  <c r="AJ28" i="175"/>
  <c r="AI28" i="175"/>
  <c r="AH28" i="175"/>
  <c r="AG28" i="175"/>
  <c r="AF28" i="175"/>
  <c r="AE28" i="175"/>
  <c r="AD28" i="175"/>
  <c r="AC28" i="175"/>
  <c r="AB28" i="175"/>
  <c r="AA28" i="175"/>
  <c r="Z28" i="175"/>
  <c r="Y28" i="175"/>
  <c r="X28" i="175"/>
  <c r="W28" i="175"/>
  <c r="V28" i="175"/>
  <c r="U28" i="175"/>
  <c r="T28" i="175"/>
  <c r="S28" i="175"/>
  <c r="R28" i="175"/>
  <c r="Q28" i="175"/>
  <c r="P28" i="175"/>
  <c r="O28" i="175"/>
  <c r="N28" i="175"/>
  <c r="M28" i="175"/>
  <c r="L28" i="175"/>
  <c r="K28" i="175"/>
  <c r="J28" i="175"/>
  <c r="I28" i="175"/>
  <c r="H28" i="175"/>
  <c r="G28" i="175"/>
  <c r="F28" i="175"/>
  <c r="E28" i="175"/>
  <c r="D28" i="175"/>
  <c r="AM27" i="175"/>
  <c r="AL27" i="175"/>
  <c r="AK27" i="175"/>
  <c r="AJ27" i="175"/>
  <c r="AI27" i="175"/>
  <c r="AH27" i="175"/>
  <c r="AG27" i="175"/>
  <c r="AF27" i="175"/>
  <c r="AE27" i="175"/>
  <c r="AD27" i="175"/>
  <c r="AC27" i="175"/>
  <c r="AB27" i="175"/>
  <c r="AA27" i="175"/>
  <c r="Z27" i="175"/>
  <c r="Y27" i="175"/>
  <c r="X27" i="175"/>
  <c r="W27" i="175"/>
  <c r="V27" i="175"/>
  <c r="U27" i="175"/>
  <c r="T27" i="175"/>
  <c r="S27" i="175"/>
  <c r="R27" i="175"/>
  <c r="Q27" i="175"/>
  <c r="P27" i="175"/>
  <c r="O27" i="175"/>
  <c r="N27" i="175"/>
  <c r="M27" i="175"/>
  <c r="L27" i="175"/>
  <c r="K27" i="175"/>
  <c r="J27" i="175"/>
  <c r="I27" i="175"/>
  <c r="H27" i="175"/>
  <c r="G27" i="175"/>
  <c r="F27" i="175"/>
  <c r="E27" i="175"/>
  <c r="D27" i="175"/>
  <c r="AM26" i="175"/>
  <c r="AL26" i="175"/>
  <c r="AK26" i="175"/>
  <c r="AJ26" i="175"/>
  <c r="AI26" i="175"/>
  <c r="AH26" i="175"/>
  <c r="AG26" i="175"/>
  <c r="AF26" i="175"/>
  <c r="AE26" i="175"/>
  <c r="AD26" i="175"/>
  <c r="AC26" i="175"/>
  <c r="AB26" i="175"/>
  <c r="AA26" i="175"/>
  <c r="Z26" i="175"/>
  <c r="Y26" i="175"/>
  <c r="X26" i="175"/>
  <c r="W26" i="175"/>
  <c r="V26" i="175"/>
  <c r="U26" i="175"/>
  <c r="T26" i="175"/>
  <c r="S26" i="175"/>
  <c r="R26" i="175"/>
  <c r="Q26" i="175"/>
  <c r="P26" i="175"/>
  <c r="O26" i="175"/>
  <c r="N26" i="175"/>
  <c r="M26" i="175"/>
  <c r="L26" i="175"/>
  <c r="K26" i="175"/>
  <c r="J26" i="175"/>
  <c r="I26" i="175"/>
  <c r="H26" i="175"/>
  <c r="G26" i="175"/>
  <c r="F26" i="175"/>
  <c r="E26" i="175"/>
  <c r="D26" i="175"/>
  <c r="AM25" i="175"/>
  <c r="AL25" i="175"/>
  <c r="AK25" i="175"/>
  <c r="AJ25" i="175"/>
  <c r="AI25" i="175"/>
  <c r="AH25" i="175"/>
  <c r="AG25" i="175"/>
  <c r="AF25" i="175"/>
  <c r="AE25" i="175"/>
  <c r="AD25" i="175"/>
  <c r="AC25" i="175"/>
  <c r="AB25" i="175"/>
  <c r="AA25" i="175"/>
  <c r="Z25" i="175"/>
  <c r="Y25" i="175"/>
  <c r="X25" i="175"/>
  <c r="W25" i="175"/>
  <c r="V25" i="175"/>
  <c r="U25" i="175"/>
  <c r="T25" i="175"/>
  <c r="S25" i="175"/>
  <c r="R25" i="175"/>
  <c r="Q25" i="175"/>
  <c r="P25" i="175"/>
  <c r="O25" i="175"/>
  <c r="N25" i="175"/>
  <c r="M25" i="175"/>
  <c r="L25" i="175"/>
  <c r="K25" i="175"/>
  <c r="J25" i="175"/>
  <c r="I25" i="175"/>
  <c r="H25" i="175"/>
  <c r="G25" i="175"/>
  <c r="F25" i="175"/>
  <c r="E25" i="175"/>
  <c r="D25" i="175"/>
  <c r="AM24" i="175"/>
  <c r="AL24" i="175"/>
  <c r="AK24" i="175"/>
  <c r="AJ24" i="175"/>
  <c r="AI24" i="175"/>
  <c r="AH24" i="175"/>
  <c r="AG24" i="175"/>
  <c r="AF24" i="175"/>
  <c r="AE24" i="175"/>
  <c r="AD24" i="175"/>
  <c r="AC24" i="175"/>
  <c r="AB24" i="175"/>
  <c r="AA24" i="175"/>
  <c r="Z24" i="175"/>
  <c r="Y24" i="175"/>
  <c r="X24" i="175"/>
  <c r="W24" i="175"/>
  <c r="V24" i="175"/>
  <c r="U24" i="175"/>
  <c r="T24" i="175"/>
  <c r="S24" i="175"/>
  <c r="R24" i="175"/>
  <c r="Q24" i="175"/>
  <c r="P24" i="175"/>
  <c r="O24" i="175"/>
  <c r="N24" i="175"/>
  <c r="M24" i="175"/>
  <c r="L24" i="175"/>
  <c r="K24" i="175"/>
  <c r="J24" i="175"/>
  <c r="I24" i="175"/>
  <c r="H24" i="175"/>
  <c r="G24" i="175"/>
  <c r="F24" i="175"/>
  <c r="E24" i="175"/>
  <c r="D24" i="175"/>
  <c r="AM23" i="175"/>
  <c r="AL23" i="175"/>
  <c r="AK23" i="175"/>
  <c r="AJ23" i="175"/>
  <c r="AI23" i="175"/>
  <c r="AH23" i="175"/>
  <c r="AG23" i="175"/>
  <c r="AF23" i="175"/>
  <c r="AE23" i="175"/>
  <c r="AD23" i="175"/>
  <c r="AC23" i="175"/>
  <c r="AB23" i="175"/>
  <c r="AA23" i="175"/>
  <c r="Z23" i="175"/>
  <c r="Y23" i="175"/>
  <c r="X23" i="175"/>
  <c r="W23" i="175"/>
  <c r="V23" i="175"/>
  <c r="U23" i="175"/>
  <c r="T23" i="175"/>
  <c r="S23" i="175"/>
  <c r="R23" i="175"/>
  <c r="Q23" i="175"/>
  <c r="P23" i="175"/>
  <c r="O23" i="175"/>
  <c r="N23" i="175"/>
  <c r="M23" i="175"/>
  <c r="L23" i="175"/>
  <c r="K23" i="175"/>
  <c r="J23" i="175"/>
  <c r="I23" i="175"/>
  <c r="H23" i="175"/>
  <c r="G23" i="175"/>
  <c r="F23" i="175"/>
  <c r="E23" i="175"/>
  <c r="D23" i="175"/>
  <c r="AM22" i="175"/>
  <c r="AL22" i="175"/>
  <c r="AK22" i="175"/>
  <c r="AJ22" i="175"/>
  <c r="AI22" i="175"/>
  <c r="AH22" i="175"/>
  <c r="AG22" i="175"/>
  <c r="AF22" i="175"/>
  <c r="AE22" i="175"/>
  <c r="AD22" i="175"/>
  <c r="AC22" i="175"/>
  <c r="AB22" i="175"/>
  <c r="AA22" i="175"/>
  <c r="Z22" i="175"/>
  <c r="Y22" i="175"/>
  <c r="X22" i="175"/>
  <c r="W22" i="175"/>
  <c r="V22" i="175"/>
  <c r="U22" i="175"/>
  <c r="T22" i="175"/>
  <c r="S22" i="175"/>
  <c r="R22" i="175"/>
  <c r="Q22" i="175"/>
  <c r="P22" i="175"/>
  <c r="O22" i="175"/>
  <c r="N22" i="175"/>
  <c r="M22" i="175"/>
  <c r="L22" i="175"/>
  <c r="K22" i="175"/>
  <c r="J22" i="175"/>
  <c r="I22" i="175"/>
  <c r="H22" i="175"/>
  <c r="G22" i="175"/>
  <c r="F22" i="175"/>
  <c r="E22" i="175"/>
  <c r="D22" i="175"/>
  <c r="C23" i="175"/>
  <c r="C24" i="175"/>
  <c r="C25" i="175"/>
  <c r="C26" i="175"/>
  <c r="C27" i="175"/>
  <c r="C28" i="175"/>
  <c r="C22" i="175"/>
  <c r="Q7" i="172" l="1"/>
  <c r="AE16" i="172" l="1"/>
  <c r="AD16" i="172"/>
  <c r="AC16" i="172"/>
  <c r="AB16" i="172"/>
  <c r="X16" i="172"/>
  <c r="V16" i="172"/>
  <c r="U16" i="172"/>
  <c r="T16" i="172"/>
  <c r="S16" i="172"/>
  <c r="D16" i="172"/>
  <c r="E16" i="172"/>
  <c r="F16" i="172"/>
  <c r="G16" i="172"/>
  <c r="H16" i="172"/>
  <c r="I16" i="172"/>
  <c r="J16" i="172"/>
  <c r="N16" i="172"/>
  <c r="O16" i="172"/>
  <c r="P16" i="172"/>
  <c r="Q16" i="172" l="1"/>
  <c r="Q14" i="172"/>
  <c r="AC12" i="174"/>
  <c r="P12" i="174" s="1"/>
  <c r="AC7" i="174"/>
  <c r="AC8" i="174"/>
  <c r="AC9" i="174"/>
  <c r="AC10" i="174"/>
  <c r="P10" i="174" s="1"/>
  <c r="AA68" i="173"/>
  <c r="AA59" i="173"/>
  <c r="AA31" i="173"/>
  <c r="AA43" i="173" s="1"/>
  <c r="AA47" i="173" s="1"/>
  <c r="Z71" i="171"/>
  <c r="AE7" i="172"/>
  <c r="AE14" i="172" s="1"/>
  <c r="AE15" i="172" s="1"/>
  <c r="AD14" i="172"/>
  <c r="AE35" i="172" l="1"/>
  <c r="AE44" i="172" s="1"/>
  <c r="AD15" i="172"/>
  <c r="AD35" i="172"/>
  <c r="Q35" i="172"/>
  <c r="AC11" i="174"/>
  <c r="Q15" i="172"/>
  <c r="AC13" i="174"/>
  <c r="P8" i="174"/>
  <c r="P11" i="174" s="1"/>
  <c r="P13" i="174" s="1"/>
  <c r="AA70" i="173"/>
  <c r="AE45" i="172" l="1"/>
  <c r="Q44" i="172"/>
  <c r="AD39" i="172"/>
  <c r="AD41" i="172" s="1"/>
  <c r="AD42" i="172" s="1"/>
  <c r="AD44" i="172"/>
  <c r="AD45" i="172" s="1"/>
  <c r="AE39" i="172"/>
  <c r="AE41" i="172" s="1"/>
  <c r="AE42" i="172" s="1"/>
  <c r="Q39" i="172"/>
  <c r="AD47" i="172" l="1"/>
  <c r="AD50" i="172" s="1"/>
  <c r="Q45" i="172"/>
  <c r="Q41" i="172"/>
  <c r="Q42" i="172" l="1"/>
  <c r="Z56" i="171"/>
  <c r="Z44" i="171"/>
  <c r="Z46" i="171" s="1"/>
  <c r="Z33" i="171"/>
  <c r="Z22" i="171"/>
  <c r="Z72" i="171" l="1"/>
  <c r="Z73" i="171" s="1"/>
  <c r="Z34" i="171"/>
  <c r="AB12" i="174"/>
  <c r="O12" i="174" s="1"/>
  <c r="AB7" i="174"/>
  <c r="AB11" i="174" s="1"/>
  <c r="AB8" i="174"/>
  <c r="O8" i="174" s="1"/>
  <c r="O11" i="174" s="1"/>
  <c r="AB9" i="174"/>
  <c r="AB10" i="174"/>
  <c r="O10" i="174" s="1"/>
  <c r="AB13" i="174" l="1"/>
  <c r="AB14" i="174" s="1"/>
  <c r="O13" i="174"/>
  <c r="Z68" i="173" l="1"/>
  <c r="Z59" i="173"/>
  <c r="Z31" i="173"/>
  <c r="Z43" i="173" l="1"/>
  <c r="Z47" i="173" l="1"/>
  <c r="Z70" i="173" l="1"/>
  <c r="P14" i="172" l="1"/>
  <c r="P15" i="172" l="1"/>
  <c r="P35" i="172"/>
  <c r="P44" i="172" s="1"/>
  <c r="P39" i="172" l="1"/>
  <c r="P45" i="172" l="1"/>
  <c r="P47" i="172"/>
  <c r="O14" i="174"/>
  <c r="P41" i="172"/>
  <c r="Y71" i="171"/>
  <c r="Y56" i="171"/>
  <c r="Y44" i="171"/>
  <c r="Y46" i="171" s="1"/>
  <c r="Y33" i="171"/>
  <c r="Y22" i="171"/>
  <c r="X22" i="171"/>
  <c r="Y34" i="171" l="1"/>
  <c r="Y72" i="171"/>
  <c r="Y73" i="171" s="1"/>
  <c r="P42" i="172"/>
  <c r="P50" i="172"/>
  <c r="BC30" i="168" l="1"/>
  <c r="BC7" i="168"/>
  <c r="AD30" i="168"/>
  <c r="AD33" i="168" s="1"/>
  <c r="BC12" i="168" l="1"/>
  <c r="BC28" i="168"/>
  <c r="BC33" i="168"/>
  <c r="AD28" i="168"/>
  <c r="AD12" i="168"/>
  <c r="BC19" i="168" l="1"/>
  <c r="BC13" i="168"/>
  <c r="AD13" i="168"/>
  <c r="AD19" i="168"/>
  <c r="BC22" i="168" l="1"/>
  <c r="AD22" i="168"/>
  <c r="BB30" i="168"/>
  <c r="BB33" i="168" s="1"/>
  <c r="BB28" i="168"/>
  <c r="BB12" i="168"/>
  <c r="BB19" i="168" s="1"/>
  <c r="BB22" i="168" s="1"/>
  <c r="BB24" i="168" s="1"/>
  <c r="BB25" i="168" s="1"/>
  <c r="BB13" i="168"/>
  <c r="AC30" i="168"/>
  <c r="AC33" i="168" s="1"/>
  <c r="AC28" i="168"/>
  <c r="AC12" i="168"/>
  <c r="AC13" i="168" s="1"/>
  <c r="BC24" i="168" l="1"/>
  <c r="AD24" i="168"/>
  <c r="AC19" i="168"/>
  <c r="AC22" i="168" s="1"/>
  <c r="AC24" i="168" s="1"/>
  <c r="AC25" i="168" s="1"/>
  <c r="BC25" i="168" l="1"/>
  <c r="AD25" i="168"/>
  <c r="AA12" i="174" l="1"/>
  <c r="N12" i="174" s="1"/>
  <c r="AA10" i="174"/>
  <c r="N10" i="174" s="1"/>
  <c r="AA9" i="174"/>
  <c r="AA8" i="174"/>
  <c r="N8" i="174" s="1"/>
  <c r="N11" i="174" s="1"/>
  <c r="N13" i="174" s="1"/>
  <c r="AA7" i="174"/>
  <c r="BA17" i="168"/>
  <c r="AB17" i="168"/>
  <c r="AA11" i="174" l="1"/>
  <c r="AA13" i="174" s="1"/>
  <c r="AC14" i="172"/>
  <c r="AC35" i="172" s="1"/>
  <c r="AC44" i="172" s="1"/>
  <c r="O14" i="172"/>
  <c r="X71" i="171"/>
  <c r="X56" i="171"/>
  <c r="X44" i="171"/>
  <c r="X33" i="171"/>
  <c r="Y68" i="173"/>
  <c r="Y59" i="173"/>
  <c r="Y31" i="173"/>
  <c r="Y43" i="173" s="1"/>
  <c r="Y47" i="173" s="1"/>
  <c r="O35" i="172" l="1"/>
  <c r="O44" i="172" s="1"/>
  <c r="AC15" i="172"/>
  <c r="O15" i="172"/>
  <c r="X72" i="171"/>
  <c r="X73" i="171" s="1"/>
  <c r="X34" i="171"/>
  <c r="Y70" i="173"/>
  <c r="AC14" i="174" l="1"/>
  <c r="AC39" i="172"/>
  <c r="AC41" i="172" s="1"/>
  <c r="AC42" i="172" s="1"/>
  <c r="P14" i="174"/>
  <c r="O39" i="172"/>
  <c r="O41" i="172" s="1"/>
  <c r="O42" i="172" s="1"/>
  <c r="BA30" i="168"/>
  <c r="AB30" i="168"/>
  <c r="AB28" i="168"/>
  <c r="AC47" i="172" l="1"/>
  <c r="AC50" i="172" s="1"/>
  <c r="AC45" i="172"/>
  <c r="O47" i="172"/>
  <c r="O50" i="172" s="1"/>
  <c r="O45" i="172"/>
  <c r="AB12" i="168"/>
  <c r="AB33" i="168"/>
  <c r="BA33" i="168" l="1"/>
  <c r="BA12" i="168"/>
  <c r="BA28" i="168"/>
  <c r="AB13" i="168"/>
  <c r="AB19" i="168"/>
  <c r="BA19" i="168" l="1"/>
  <c r="BA13" i="168"/>
  <c r="AB22" i="168"/>
  <c r="BA22" i="168" l="1"/>
  <c r="AB24" i="168"/>
  <c r="BA24" i="168" l="1"/>
  <c r="AB25" i="168"/>
  <c r="AZ30" i="168"/>
  <c r="BA25" i="168" l="1"/>
  <c r="X31" i="173" l="1"/>
  <c r="W31" i="173"/>
  <c r="U31" i="173"/>
  <c r="T31" i="173"/>
  <c r="S31" i="173"/>
  <c r="R31" i="173"/>
  <c r="D31" i="173"/>
  <c r="E31" i="173"/>
  <c r="F31" i="173"/>
  <c r="G31" i="173"/>
  <c r="H31" i="173"/>
  <c r="J31" i="173"/>
  <c r="K31" i="173"/>
  <c r="L31" i="173"/>
  <c r="M31" i="173"/>
  <c r="C31" i="173"/>
  <c r="M29" i="172" l="1"/>
  <c r="AA29" i="172"/>
  <c r="AA16" i="172" s="1"/>
  <c r="Z13" i="172"/>
  <c r="Z12" i="172"/>
  <c r="L13" i="172"/>
  <c r="L12" i="172"/>
  <c r="AA30" i="168" l="1"/>
  <c r="AZ33" i="168" l="1"/>
  <c r="AA28" i="168"/>
  <c r="AA12" i="168"/>
  <c r="AA33" i="168"/>
  <c r="AZ28" i="168" l="1"/>
  <c r="AZ12" i="168"/>
  <c r="AZ13" i="168" s="1"/>
  <c r="AZ19" i="168"/>
  <c r="AA19" i="168"/>
  <c r="AA13" i="168"/>
  <c r="L54" i="173"/>
  <c r="AZ22" i="168" l="1"/>
  <c r="AZ24" i="168" s="1"/>
  <c r="AA22" i="168"/>
  <c r="V8" i="173"/>
  <c r="X68" i="173"/>
  <c r="X59" i="173"/>
  <c r="AA24" i="168" l="1"/>
  <c r="AZ25" i="168"/>
  <c r="V31" i="173"/>
  <c r="X43" i="173"/>
  <c r="AA25" i="168" l="1"/>
  <c r="X47" i="173"/>
  <c r="X70" i="173" l="1"/>
  <c r="Z12" i="174"/>
  <c r="M12" i="174" s="1"/>
  <c r="Z7" i="174"/>
  <c r="Z8" i="174"/>
  <c r="M8" i="174" s="1"/>
  <c r="Z9" i="174"/>
  <c r="Z10" i="174"/>
  <c r="M10" i="174" s="1"/>
  <c r="M11" i="174" l="1"/>
  <c r="M13" i="174" s="1"/>
  <c r="Z11" i="174"/>
  <c r="Z13" i="174" s="1"/>
  <c r="L29" i="172"/>
  <c r="N14" i="172" l="1"/>
  <c r="N35" i="172" s="1"/>
  <c r="N44" i="172" s="1"/>
  <c r="AB14" i="172"/>
  <c r="AB35" i="172" s="1"/>
  <c r="AB44" i="172" s="1"/>
  <c r="W71" i="171"/>
  <c r="W56" i="171"/>
  <c r="W44" i="171"/>
  <c r="W33" i="171"/>
  <c r="W22" i="171"/>
  <c r="AY30" i="168"/>
  <c r="Z30" i="168"/>
  <c r="AB15" i="172" l="1"/>
  <c r="N15" i="172"/>
  <c r="W72" i="171"/>
  <c r="W73" i="171" s="1"/>
  <c r="W34" i="171"/>
  <c r="N39" i="172" l="1"/>
  <c r="N45" i="172"/>
  <c r="AB39" i="172"/>
  <c r="N41" i="172"/>
  <c r="M14" i="174"/>
  <c r="N47" i="172"/>
  <c r="AB47" i="172" l="1"/>
  <c r="AB50" i="172" s="1"/>
  <c r="AB45" i="172"/>
  <c r="AB41" i="172"/>
  <c r="Z14" i="174"/>
  <c r="N50" i="172"/>
  <c r="AY28" i="168"/>
  <c r="AY33" i="168"/>
  <c r="Z28" i="168"/>
  <c r="Z33" i="168"/>
  <c r="N42" i="172"/>
  <c r="AY12" i="168"/>
  <c r="Z12" i="168"/>
  <c r="AB42" i="172" l="1"/>
  <c r="AY19" i="168"/>
  <c r="AY13" i="168"/>
  <c r="Z13" i="168"/>
  <c r="Z19" i="168"/>
  <c r="AY22" i="168" l="1"/>
  <c r="Z22" i="168"/>
  <c r="AY24" i="168" l="1"/>
  <c r="Z24" i="168"/>
  <c r="AX30" i="168"/>
  <c r="Y30" i="168"/>
  <c r="Y28" i="168"/>
  <c r="AY25" i="168" l="1"/>
  <c r="Z25" i="168"/>
  <c r="AX28" i="168"/>
  <c r="AX12" i="168"/>
  <c r="Y33" i="168"/>
  <c r="Y12" i="168"/>
  <c r="AX33" i="168"/>
  <c r="M17" i="172"/>
  <c r="M16" i="172" s="1"/>
  <c r="L40" i="172"/>
  <c r="Z40" i="172"/>
  <c r="W23" i="168"/>
  <c r="Z17" i="172"/>
  <c r="M23" i="172"/>
  <c r="L23" i="172"/>
  <c r="L17" i="172"/>
  <c r="Y13" i="168" l="1"/>
  <c r="Y19" i="168"/>
  <c r="AX13" i="168"/>
  <c r="AX19" i="168"/>
  <c r="U14" i="168"/>
  <c r="U18" i="168"/>
  <c r="AX22" i="168" l="1"/>
  <c r="Y22" i="168"/>
  <c r="Y24" i="168" l="1"/>
  <c r="AX24" i="168"/>
  <c r="V54" i="173"/>
  <c r="Y12" i="174"/>
  <c r="Y10" i="174"/>
  <c r="Y9" i="174"/>
  <c r="Y8" i="174"/>
  <c r="Y7" i="174"/>
  <c r="L12" i="174"/>
  <c r="L10" i="174"/>
  <c r="L8" i="174"/>
  <c r="AX25" i="168" l="1"/>
  <c r="Y25" i="168"/>
  <c r="Y11" i="174"/>
  <c r="Y13" i="174" s="1"/>
  <c r="L11" i="174"/>
  <c r="L13" i="174" s="1"/>
  <c r="W68" i="173"/>
  <c r="W59" i="173"/>
  <c r="W43" i="173"/>
  <c r="M68" i="173"/>
  <c r="M59" i="173"/>
  <c r="M43" i="173"/>
  <c r="AW30" i="168"/>
  <c r="AW12" i="168"/>
  <c r="X30" i="168"/>
  <c r="X12" i="168"/>
  <c r="W47" i="173" l="1"/>
  <c r="M47" i="173"/>
  <c r="W70" i="173"/>
  <c r="M70" i="173"/>
  <c r="V43" i="173"/>
  <c r="X33" i="168"/>
  <c r="AW33" i="168"/>
  <c r="X28" i="168"/>
  <c r="AW28" i="168"/>
  <c r="AW19" i="168"/>
  <c r="AW13" i="168"/>
  <c r="X19" i="168"/>
  <c r="X13" i="168"/>
  <c r="AW22" i="168" l="1"/>
  <c r="X22" i="168"/>
  <c r="V20" i="168"/>
  <c r="T20" i="168"/>
  <c r="S14" i="168"/>
  <c r="T14" i="168"/>
  <c r="X24" i="168" l="1"/>
  <c r="AW24" i="168"/>
  <c r="AW25" i="168" l="1"/>
  <c r="X25" i="168"/>
  <c r="M11" i="172"/>
  <c r="L11" i="172"/>
  <c r="L22" i="172"/>
  <c r="L26" i="172"/>
  <c r="Z19" i="172"/>
  <c r="Z16" i="172" s="1"/>
  <c r="L19" i="172"/>
  <c r="L16" i="172" s="1"/>
  <c r="K11" i="172"/>
  <c r="Y11" i="172"/>
  <c r="Z11" i="172"/>
  <c r="AA11" i="172"/>
  <c r="Y22" i="172"/>
  <c r="K22" i="172"/>
  <c r="Y29" i="172"/>
  <c r="K29" i="172"/>
  <c r="Y17" i="172"/>
  <c r="Y16" i="172" s="1"/>
  <c r="K17" i="172"/>
  <c r="Y19" i="172"/>
  <c r="Y26" i="172"/>
  <c r="K26" i="172"/>
  <c r="K20" i="172"/>
  <c r="K19" i="172"/>
  <c r="V71" i="171"/>
  <c r="V56" i="171"/>
  <c r="V44" i="171"/>
  <c r="V33" i="171"/>
  <c r="V22" i="171"/>
  <c r="M71" i="171"/>
  <c r="M56" i="171"/>
  <c r="M44" i="171"/>
  <c r="M33" i="171"/>
  <c r="M22" i="171"/>
  <c r="S20" i="168"/>
  <c r="K16" i="172" l="1"/>
  <c r="AA14" i="172"/>
  <c r="V72" i="171"/>
  <c r="M34" i="171"/>
  <c r="M72" i="171"/>
  <c r="M73" i="171" s="1"/>
  <c r="M14" i="172"/>
  <c r="M35" i="172" s="1"/>
  <c r="M44" i="172" s="1"/>
  <c r="V73" i="171"/>
  <c r="V34" i="171"/>
  <c r="AS21" i="168"/>
  <c r="AA35" i="172" l="1"/>
  <c r="AA44" i="172" s="1"/>
  <c r="AA15" i="172"/>
  <c r="M15" i="172"/>
  <c r="AA39" i="172" l="1"/>
  <c r="AA41" i="172" s="1"/>
  <c r="AA14" i="174"/>
  <c r="AA45" i="172"/>
  <c r="AA47" i="172"/>
  <c r="M39" i="172"/>
  <c r="N14" i="174" l="1"/>
  <c r="AA50" i="172"/>
  <c r="AA42" i="172"/>
  <c r="M41" i="172"/>
  <c r="M47" i="172"/>
  <c r="M45" i="172"/>
  <c r="M42" i="172" l="1"/>
  <c r="M50" i="172"/>
  <c r="AV30" i="168" l="1"/>
  <c r="W30" i="168"/>
  <c r="W12" i="168" l="1"/>
  <c r="AV33" i="168"/>
  <c r="AV12" i="168"/>
  <c r="W28" i="168"/>
  <c r="W33" i="168"/>
  <c r="AV28" i="168" l="1"/>
  <c r="AV19" i="168"/>
  <c r="AV13" i="168"/>
  <c r="W19" i="168"/>
  <c r="W13" i="168"/>
  <c r="AV22" i="168" l="1"/>
  <c r="W22" i="168"/>
  <c r="W24" i="168" l="1"/>
  <c r="AV24" i="168"/>
  <c r="X12" i="174"/>
  <c r="X10" i="174"/>
  <c r="X9" i="174"/>
  <c r="X8" i="174"/>
  <c r="X7" i="174"/>
  <c r="K12" i="174"/>
  <c r="K10" i="174"/>
  <c r="K8" i="174"/>
  <c r="W25" i="168" l="1"/>
  <c r="AV25" i="168"/>
  <c r="X11" i="174"/>
  <c r="X13" i="174" s="1"/>
  <c r="K11" i="174"/>
  <c r="K13" i="174" s="1"/>
  <c r="J33" i="173"/>
  <c r="T33" i="173"/>
  <c r="T38" i="173"/>
  <c r="J38" i="173"/>
  <c r="V68" i="173"/>
  <c r="L68" i="173"/>
  <c r="L59" i="173"/>
  <c r="AU30" i="168"/>
  <c r="V59" i="173" l="1"/>
  <c r="L43" i="173"/>
  <c r="L47" i="173" l="1"/>
  <c r="V47" i="173"/>
  <c r="J11" i="172"/>
  <c r="L70" i="173" l="1"/>
  <c r="V70" i="173"/>
  <c r="Z14" i="172"/>
  <c r="Z35" i="172" s="1"/>
  <c r="Z44" i="172" s="1"/>
  <c r="L14" i="172"/>
  <c r="L35" i="172" s="1"/>
  <c r="L44" i="172" s="1"/>
  <c r="U71" i="171"/>
  <c r="U56" i="171"/>
  <c r="U44" i="171"/>
  <c r="U33" i="171"/>
  <c r="U22" i="171"/>
  <c r="K58" i="171"/>
  <c r="L71" i="171"/>
  <c r="L56" i="171"/>
  <c r="L44" i="171"/>
  <c r="L33" i="171"/>
  <c r="L22" i="171"/>
  <c r="V72" i="173" l="1"/>
  <c r="W71" i="173" s="1"/>
  <c r="L34" i="171"/>
  <c r="Z15" i="172"/>
  <c r="L15" i="172"/>
  <c r="U72" i="171"/>
  <c r="U34" i="171"/>
  <c r="L72" i="171"/>
  <c r="Z39" i="172" l="1"/>
  <c r="L39" i="172"/>
  <c r="U73" i="171"/>
  <c r="L73" i="171"/>
  <c r="AU12" i="168"/>
  <c r="V30" i="168"/>
  <c r="X71" i="173" l="1"/>
  <c r="Z47" i="172"/>
  <c r="Z50" i="172" s="1"/>
  <c r="Z41" i="172"/>
  <c r="L41" i="172"/>
  <c r="Z45" i="172"/>
  <c r="X14" i="174"/>
  <c r="K14" i="174"/>
  <c r="L74" i="171"/>
  <c r="AU33" i="168"/>
  <c r="L45" i="172"/>
  <c r="L47" i="172"/>
  <c r="AU13" i="168"/>
  <c r="AU19" i="168"/>
  <c r="AU28" i="168"/>
  <c r="AU22" i="168" l="1"/>
  <c r="Z42" i="172"/>
  <c r="L42" i="172"/>
  <c r="V12" i="168"/>
  <c r="V19" i="168" s="1"/>
  <c r="L50" i="172"/>
  <c r="AU24" i="168" l="1"/>
  <c r="V33" i="168"/>
  <c r="V28" i="168"/>
  <c r="V13" i="168"/>
  <c r="V22" i="168"/>
  <c r="V24" i="168" l="1"/>
  <c r="AU25" i="168"/>
  <c r="V25" i="168" l="1"/>
  <c r="AN14" i="168" l="1"/>
  <c r="AO14" i="168"/>
  <c r="AP14" i="168"/>
  <c r="AQ14" i="168"/>
  <c r="K14" i="168"/>
  <c r="L14" i="168"/>
  <c r="M14" i="168"/>
  <c r="N14" i="168"/>
  <c r="O14" i="168"/>
  <c r="P14" i="168"/>
  <c r="Q14" i="168"/>
  <c r="R14" i="168"/>
  <c r="AT12" i="168" l="1"/>
  <c r="AT19" i="168" s="1"/>
  <c r="AT30" i="168"/>
  <c r="AT33" i="168" l="1"/>
  <c r="AT28" i="168"/>
  <c r="U12" i="168"/>
  <c r="AT22" i="168" l="1"/>
  <c r="AT13" i="168"/>
  <c r="AT24" i="168" l="1"/>
  <c r="U19" i="168"/>
  <c r="U30" i="168"/>
  <c r="AT25" i="168" l="1"/>
  <c r="U22" i="168"/>
  <c r="U33" i="168"/>
  <c r="U28" i="168"/>
  <c r="U13" i="168" l="1"/>
  <c r="U24" i="168"/>
  <c r="U25" i="168" l="1"/>
  <c r="U68" i="173" l="1"/>
  <c r="U59" i="173"/>
  <c r="K68" i="173"/>
  <c r="K59" i="173"/>
  <c r="W12" i="174"/>
  <c r="W10" i="174"/>
  <c r="W9" i="174"/>
  <c r="W8" i="174"/>
  <c r="W7" i="174"/>
  <c r="K64" i="171"/>
  <c r="K63" i="171"/>
  <c r="U43" i="173" l="1"/>
  <c r="K43" i="173"/>
  <c r="W11" i="174"/>
  <c r="W13" i="174" s="1"/>
  <c r="K47" i="173" l="1"/>
  <c r="U47" i="173"/>
  <c r="U70" i="173" l="1"/>
  <c r="K70" i="173"/>
  <c r="J8" i="174"/>
  <c r="J10" i="174"/>
  <c r="J12" i="174"/>
  <c r="J11" i="174" l="1"/>
  <c r="J13" i="174" s="1"/>
  <c r="I11" i="172"/>
  <c r="I14" i="172" l="1"/>
  <c r="I35" i="172" s="1"/>
  <c r="I44" i="172" s="1"/>
  <c r="K14" i="172"/>
  <c r="K35" i="172" s="1"/>
  <c r="K44" i="172" s="1"/>
  <c r="I15" i="172" l="1"/>
  <c r="K15" i="172"/>
  <c r="K39" i="172" l="1"/>
  <c r="I47" i="172"/>
  <c r="I39" i="172"/>
  <c r="K41" i="172"/>
  <c r="I45" i="172" l="1"/>
  <c r="L14" i="174"/>
  <c r="I41" i="172"/>
  <c r="K45" i="172"/>
  <c r="K47" i="172"/>
  <c r="K42" i="172"/>
  <c r="I50" i="172"/>
  <c r="I42" i="172" l="1"/>
  <c r="K50" i="172"/>
  <c r="J58" i="171"/>
  <c r="K26" i="171"/>
  <c r="J26" i="171"/>
  <c r="Y14" i="172" l="1"/>
  <c r="Y35" i="172" s="1"/>
  <c r="Y44" i="172" s="1"/>
  <c r="Y15" i="172" l="1"/>
  <c r="Y39" i="172" l="1"/>
  <c r="Y14" i="174" l="1"/>
  <c r="Y41" i="172"/>
  <c r="Y45" i="172"/>
  <c r="Y47" i="172"/>
  <c r="Y42" i="172" l="1"/>
  <c r="Y50" i="172"/>
  <c r="K71" i="171" l="1"/>
  <c r="K56" i="171"/>
  <c r="K44" i="171"/>
  <c r="K33" i="171"/>
  <c r="K22" i="171"/>
  <c r="K72" i="171" l="1"/>
  <c r="K34" i="171"/>
  <c r="S58" i="171"/>
  <c r="T56" i="171"/>
  <c r="S26" i="171"/>
  <c r="K73" i="171" l="1"/>
  <c r="S9" i="171"/>
  <c r="T71" i="171"/>
  <c r="T44" i="171"/>
  <c r="T33" i="171"/>
  <c r="T22" i="171"/>
  <c r="T72" i="171" l="1"/>
  <c r="T73" i="171" s="1"/>
  <c r="T34" i="171"/>
  <c r="W23" i="172"/>
  <c r="W16" i="172" s="1"/>
  <c r="AS30" i="168" l="1"/>
  <c r="AS12" i="168" l="1"/>
  <c r="AS19" i="168" s="1"/>
  <c r="AS33" i="168"/>
  <c r="AS28" i="168"/>
  <c r="T30" i="168"/>
  <c r="AS13" i="168" l="1"/>
  <c r="T12" i="168"/>
  <c r="T19" i="168" s="1"/>
  <c r="AS22" i="168" l="1"/>
  <c r="T33" i="168"/>
  <c r="T28" i="168"/>
  <c r="AS24" i="168" l="1"/>
  <c r="T13" i="168"/>
  <c r="T22" i="168" l="1"/>
  <c r="AS25" i="168"/>
  <c r="AR30" i="168" l="1"/>
  <c r="S30" i="168"/>
  <c r="AR12" i="168" l="1"/>
  <c r="S12" i="168"/>
  <c r="AR33" i="168"/>
  <c r="AR28" i="168"/>
  <c r="S33" i="168"/>
  <c r="S28" i="168"/>
  <c r="AR13" i="168" l="1"/>
  <c r="AR19" i="168"/>
  <c r="S19" i="168"/>
  <c r="S13" i="168"/>
  <c r="AR22" i="168" l="1"/>
  <c r="AR24" i="168" s="1"/>
  <c r="AR25" i="168" s="1"/>
  <c r="S22" i="168"/>
  <c r="S24" i="168" l="1"/>
  <c r="T59" i="173"/>
  <c r="S25" i="168" l="1"/>
  <c r="W40" i="172"/>
  <c r="W32" i="172"/>
  <c r="W37" i="172"/>
  <c r="R42" i="173"/>
  <c r="H42" i="173"/>
  <c r="H37" i="173"/>
  <c r="R69" i="171"/>
  <c r="R55" i="171"/>
  <c r="R50" i="171"/>
  <c r="R43" i="171"/>
  <c r="R44" i="171" s="1"/>
  <c r="R12" i="171"/>
  <c r="R22" i="171" s="1"/>
  <c r="V12" i="174" l="1"/>
  <c r="V10" i="174"/>
  <c r="V9" i="174"/>
  <c r="V8" i="174"/>
  <c r="V7" i="174"/>
  <c r="I12" i="174"/>
  <c r="I10" i="174"/>
  <c r="I8" i="174"/>
  <c r="I11" i="174" l="1"/>
  <c r="I13" i="174" s="1"/>
  <c r="V11" i="174"/>
  <c r="V13" i="174" s="1"/>
  <c r="X11" i="172"/>
  <c r="X14" i="172" l="1"/>
  <c r="X35" i="172" s="1"/>
  <c r="X44" i="172" s="1"/>
  <c r="X15" i="172" l="1"/>
  <c r="X47" i="172" l="1"/>
  <c r="X39" i="172"/>
  <c r="X45" i="172" l="1"/>
  <c r="X41" i="172"/>
  <c r="X42" i="172" s="1"/>
  <c r="V14" i="174"/>
  <c r="J14" i="172" l="1"/>
  <c r="J35" i="172" s="1"/>
  <c r="J44" i="172" s="1"/>
  <c r="J15" i="172" l="1"/>
  <c r="T68" i="173"/>
  <c r="J68" i="173"/>
  <c r="J59" i="173"/>
  <c r="J39" i="172" l="1"/>
  <c r="J43" i="173"/>
  <c r="T43" i="173"/>
  <c r="X50" i="172"/>
  <c r="S71" i="171"/>
  <c r="S56" i="171"/>
  <c r="S44" i="171"/>
  <c r="S33" i="171"/>
  <c r="S22" i="171"/>
  <c r="J47" i="173" l="1"/>
  <c r="T47" i="173"/>
  <c r="J45" i="172"/>
  <c r="J14" i="174"/>
  <c r="J47" i="172"/>
  <c r="I14" i="174"/>
  <c r="J41" i="172"/>
  <c r="S72" i="171"/>
  <c r="S34" i="171"/>
  <c r="J71" i="171"/>
  <c r="J56" i="171"/>
  <c r="J44" i="171"/>
  <c r="J33" i="171"/>
  <c r="J22" i="171"/>
  <c r="J70" i="173" l="1"/>
  <c r="J42" i="172"/>
  <c r="J50" i="172"/>
  <c r="S73" i="171"/>
  <c r="T70" i="173"/>
  <c r="J34" i="171"/>
  <c r="J72" i="171"/>
  <c r="J72" i="173" l="1"/>
  <c r="J73" i="171"/>
  <c r="L71" i="173" l="1"/>
  <c r="K71" i="173"/>
  <c r="U71" i="173"/>
  <c r="AQ30" i="168"/>
  <c r="AQ12" i="168"/>
  <c r="R30" i="168"/>
  <c r="R12" i="168"/>
  <c r="L72" i="173" l="1"/>
  <c r="K72" i="173"/>
  <c r="M71" i="173"/>
  <c r="U72" i="173"/>
  <c r="R33" i="168"/>
  <c r="AQ33" i="168"/>
  <c r="AQ13" i="168"/>
  <c r="AQ19" i="168"/>
  <c r="AQ28" i="168"/>
  <c r="R13" i="168"/>
  <c r="R19" i="168"/>
  <c r="R28" i="168"/>
  <c r="R22" i="168" l="1"/>
  <c r="M72" i="173"/>
  <c r="W72" i="173"/>
  <c r="AQ22" i="168"/>
  <c r="R24" i="168" l="1"/>
  <c r="X72" i="173"/>
  <c r="AQ24" i="168"/>
  <c r="AP30" i="168"/>
  <c r="Y71" i="173" l="1"/>
  <c r="Y72" i="173" s="1"/>
  <c r="Z71" i="173"/>
  <c r="Z72" i="173" s="1"/>
  <c r="AA71" i="173" s="1"/>
  <c r="AA72" i="173" s="1"/>
  <c r="R25" i="168"/>
  <c r="AQ25" i="168"/>
  <c r="AP28" i="168"/>
  <c r="Q30" i="168"/>
  <c r="Q12" i="168"/>
  <c r="AP12" i="168" l="1"/>
  <c r="AP33" i="168"/>
  <c r="Q33" i="168"/>
  <c r="Q13" i="168"/>
  <c r="Q19" i="168"/>
  <c r="Q28" i="168"/>
  <c r="Q22" i="168" l="1"/>
  <c r="AP13" i="168"/>
  <c r="AP19" i="168"/>
  <c r="AP22" i="168" l="1"/>
  <c r="Q24" i="168"/>
  <c r="Q25" i="168" l="1"/>
  <c r="AP24" i="168"/>
  <c r="I8" i="173"/>
  <c r="U9" i="174"/>
  <c r="U8" i="174"/>
  <c r="U7" i="174"/>
  <c r="U12" i="174"/>
  <c r="U10" i="174"/>
  <c r="H12" i="174"/>
  <c r="H10" i="174"/>
  <c r="H8" i="174"/>
  <c r="AP25" i="168" l="1"/>
  <c r="H11" i="174"/>
  <c r="H13" i="174" s="1"/>
  <c r="U11" i="174"/>
  <c r="U13" i="174" s="1"/>
  <c r="I10" i="173"/>
  <c r="I31" i="173" s="1"/>
  <c r="G37" i="173" l="1"/>
  <c r="Q37" i="173"/>
  <c r="S68" i="173" l="1"/>
  <c r="S59" i="173"/>
  <c r="S43" i="173"/>
  <c r="I68" i="173"/>
  <c r="I59" i="173"/>
  <c r="S47" i="173" l="1"/>
  <c r="I43" i="173"/>
  <c r="S70" i="173" l="1"/>
  <c r="I47" i="173"/>
  <c r="R71" i="171"/>
  <c r="R56" i="171"/>
  <c r="R33" i="171"/>
  <c r="I56" i="171"/>
  <c r="I71" i="171"/>
  <c r="I44" i="171"/>
  <c r="I33" i="171"/>
  <c r="I22" i="171"/>
  <c r="S72" i="173" l="1"/>
  <c r="R34" i="171"/>
  <c r="I70" i="173"/>
  <c r="R72" i="171"/>
  <c r="I72" i="171"/>
  <c r="I34" i="171"/>
  <c r="R73" i="171" l="1"/>
  <c r="I72" i="173"/>
  <c r="I73" i="171"/>
  <c r="W11" i="172"/>
  <c r="W14" i="172" l="1"/>
  <c r="W35" i="172" s="1"/>
  <c r="W44" i="172" s="1"/>
  <c r="AN30" i="168"/>
  <c r="AM30" i="168"/>
  <c r="AL30" i="168"/>
  <c r="AK30" i="168"/>
  <c r="AJ30" i="168"/>
  <c r="AI30" i="168"/>
  <c r="AH30" i="168"/>
  <c r="AG30" i="168"/>
  <c r="AF30" i="168"/>
  <c r="D30" i="168"/>
  <c r="E30" i="168"/>
  <c r="F30" i="168"/>
  <c r="G30" i="168"/>
  <c r="H30" i="168"/>
  <c r="I30" i="168"/>
  <c r="J30" i="168"/>
  <c r="K30" i="168"/>
  <c r="L30" i="168"/>
  <c r="M30" i="168"/>
  <c r="N30" i="168"/>
  <c r="O30" i="168"/>
  <c r="P30" i="168"/>
  <c r="C30" i="168"/>
  <c r="W15" i="172" l="1"/>
  <c r="W39" i="172" l="1"/>
  <c r="W41" i="172" l="1"/>
  <c r="W47" i="172"/>
  <c r="AO27" i="168"/>
  <c r="W14" i="174"/>
  <c r="W45" i="172"/>
  <c r="W42" i="172"/>
  <c r="AO12" i="168"/>
  <c r="P28" i="168"/>
  <c r="AO30" i="168" l="1"/>
  <c r="AO33" i="168" s="1"/>
  <c r="W50" i="172"/>
  <c r="AO19" i="168"/>
  <c r="AO13" i="168"/>
  <c r="AO28" i="168"/>
  <c r="P33" i="168"/>
  <c r="P12" i="168"/>
  <c r="AO22" i="168" l="1"/>
  <c r="P13" i="168"/>
  <c r="P19" i="168"/>
  <c r="P22" i="168" l="1"/>
  <c r="AO24" i="168"/>
  <c r="P24" i="168" l="1"/>
  <c r="AO25" i="168"/>
  <c r="P25" i="168" l="1"/>
  <c r="AN12" i="168" l="1"/>
  <c r="AN19" i="168" s="1"/>
  <c r="O12" i="168"/>
  <c r="AN22" i="168" l="1"/>
  <c r="AN33" i="168"/>
  <c r="AN13" i="168"/>
  <c r="AN28" i="168"/>
  <c r="O33" i="168"/>
  <c r="O13" i="168"/>
  <c r="O28" i="168"/>
  <c r="T12" i="174"/>
  <c r="T10" i="174"/>
  <c r="T9" i="174"/>
  <c r="T8" i="174"/>
  <c r="T7" i="174"/>
  <c r="G12" i="174"/>
  <c r="G10" i="174"/>
  <c r="G8" i="174"/>
  <c r="P68" i="173"/>
  <c r="P59" i="173"/>
  <c r="P31" i="173"/>
  <c r="R68" i="173"/>
  <c r="R59" i="173"/>
  <c r="H68" i="173"/>
  <c r="H59" i="173"/>
  <c r="H43" i="173"/>
  <c r="AN24" i="168" l="1"/>
  <c r="P43" i="173"/>
  <c r="H47" i="173"/>
  <c r="R43" i="173"/>
  <c r="G11" i="174"/>
  <c r="G13" i="174" s="1"/>
  <c r="T11" i="174"/>
  <c r="T13" i="174" s="1"/>
  <c r="T11" i="172"/>
  <c r="V11" i="172"/>
  <c r="H11" i="172"/>
  <c r="Q71" i="171"/>
  <c r="H71" i="171"/>
  <c r="Q56" i="171"/>
  <c r="H56" i="171"/>
  <c r="Q44" i="171"/>
  <c r="H44" i="171"/>
  <c r="Q33" i="171"/>
  <c r="H33" i="171"/>
  <c r="Q22" i="171"/>
  <c r="H22" i="171"/>
  <c r="AN25" i="168" l="1"/>
  <c r="H70" i="173"/>
  <c r="R47" i="173"/>
  <c r="P47" i="173"/>
  <c r="Q72" i="171"/>
  <c r="H34" i="171"/>
  <c r="T14" i="172"/>
  <c r="T35" i="172" s="1"/>
  <c r="T44" i="172" s="1"/>
  <c r="Q34" i="171"/>
  <c r="H72" i="171"/>
  <c r="V14" i="172"/>
  <c r="V35" i="172" s="1"/>
  <c r="V44" i="172" s="1"/>
  <c r="H14" i="172"/>
  <c r="H35" i="172" s="1"/>
  <c r="H44" i="172" s="1"/>
  <c r="H72" i="173" l="1"/>
  <c r="P70" i="173"/>
  <c r="H15" i="172"/>
  <c r="T15" i="172"/>
  <c r="V15" i="172"/>
  <c r="H73" i="171"/>
  <c r="Q73" i="171"/>
  <c r="R70" i="173"/>
  <c r="P72" i="173" l="1"/>
  <c r="H39" i="172"/>
  <c r="V39" i="172"/>
  <c r="T39" i="172"/>
  <c r="R72" i="173"/>
  <c r="V41" i="172" l="1"/>
  <c r="H47" i="172"/>
  <c r="T47" i="172"/>
  <c r="T41" i="172"/>
  <c r="H41" i="172"/>
  <c r="V45" i="172"/>
  <c r="T45" i="172"/>
  <c r="V47" i="172"/>
  <c r="V42" i="172"/>
  <c r="H45" i="172"/>
  <c r="F71" i="173"/>
  <c r="Q68" i="173"/>
  <c r="O68" i="173"/>
  <c r="G68" i="173"/>
  <c r="F68" i="173"/>
  <c r="E68" i="173"/>
  <c r="Q59" i="173"/>
  <c r="O59" i="173"/>
  <c r="G59" i="173"/>
  <c r="F59" i="173"/>
  <c r="E59" i="173"/>
  <c r="Q31" i="173"/>
  <c r="O31" i="173"/>
  <c r="AM28" i="168"/>
  <c r="AL28" i="168"/>
  <c r="AK28" i="168"/>
  <c r="AJ28" i="168"/>
  <c r="AI28" i="168"/>
  <c r="AH28" i="168"/>
  <c r="AG28" i="168"/>
  <c r="AF28" i="168"/>
  <c r="N28" i="168"/>
  <c r="M28" i="168"/>
  <c r="L28" i="168"/>
  <c r="K12" i="168"/>
  <c r="J28" i="168"/>
  <c r="I28" i="168"/>
  <c r="H28" i="168"/>
  <c r="G12" i="168"/>
  <c r="U11" i="172"/>
  <c r="S11" i="172"/>
  <c r="G11" i="172"/>
  <c r="F11" i="172"/>
  <c r="E11" i="172"/>
  <c r="E43" i="173" l="1"/>
  <c r="Q43" i="173"/>
  <c r="F43" i="173"/>
  <c r="G43" i="173"/>
  <c r="O43" i="173"/>
  <c r="V50" i="172"/>
  <c r="H42" i="172"/>
  <c r="T50" i="172"/>
  <c r="T42" i="172"/>
  <c r="H50" i="172"/>
  <c r="T14" i="174"/>
  <c r="U14" i="172"/>
  <c r="U35" i="172" s="1"/>
  <c r="U44" i="172" s="1"/>
  <c r="G33" i="168"/>
  <c r="K33" i="168"/>
  <c r="AF33" i="168"/>
  <c r="AJ33" i="168"/>
  <c r="G14" i="172"/>
  <c r="G35" i="172" s="1"/>
  <c r="G44" i="172" s="1"/>
  <c r="F14" i="172"/>
  <c r="F35" i="172" s="1"/>
  <c r="F44" i="172" s="1"/>
  <c r="L12" i="168"/>
  <c r="L19" i="168" s="1"/>
  <c r="H33" i="168"/>
  <c r="L33" i="168"/>
  <c r="AG33" i="168"/>
  <c r="AK33" i="168"/>
  <c r="AK12" i="168"/>
  <c r="AK19" i="168" s="1"/>
  <c r="I33" i="168"/>
  <c r="M33" i="168"/>
  <c r="AH33" i="168"/>
  <c r="AL33" i="168"/>
  <c r="G28" i="168"/>
  <c r="J33" i="168"/>
  <c r="N33" i="168"/>
  <c r="AI33" i="168"/>
  <c r="AM33" i="168"/>
  <c r="G13" i="168"/>
  <c r="G19" i="168"/>
  <c r="K19" i="168"/>
  <c r="K13" i="168"/>
  <c r="AF12" i="168"/>
  <c r="K28" i="168"/>
  <c r="H12" i="168"/>
  <c r="AG12" i="168"/>
  <c r="AJ12" i="168"/>
  <c r="I12" i="168"/>
  <c r="M12" i="168"/>
  <c r="AH12" i="168"/>
  <c r="AL12" i="168"/>
  <c r="AL19" i="168" s="1"/>
  <c r="J12" i="168"/>
  <c r="N12" i="168"/>
  <c r="AI12" i="168"/>
  <c r="AM12" i="168"/>
  <c r="AM19" i="168" s="1"/>
  <c r="G22" i="168" l="1"/>
  <c r="K22" i="168"/>
  <c r="L22" i="168"/>
  <c r="AK22" i="168"/>
  <c r="O47" i="173"/>
  <c r="F47" i="173"/>
  <c r="E47" i="173"/>
  <c r="G47" i="173"/>
  <c r="Q47" i="173"/>
  <c r="G15" i="172"/>
  <c r="S14" i="172"/>
  <c r="S35" i="172" s="1"/>
  <c r="S44" i="172" s="1"/>
  <c r="E14" i="172"/>
  <c r="E35" i="172" s="1"/>
  <c r="E44" i="172" s="1"/>
  <c r="U15" i="172"/>
  <c r="F15" i="172"/>
  <c r="AK13" i="168"/>
  <c r="L13" i="168"/>
  <c r="J19" i="168"/>
  <c r="J13" i="168"/>
  <c r="I19" i="168"/>
  <c r="I13" i="168"/>
  <c r="AM22" i="168"/>
  <c r="AM13" i="168"/>
  <c r="AL13" i="168"/>
  <c r="AJ19" i="168"/>
  <c r="AJ13" i="168"/>
  <c r="AF19" i="168"/>
  <c r="AF13" i="168"/>
  <c r="AH19" i="168"/>
  <c r="AH13" i="168"/>
  <c r="AI19" i="168"/>
  <c r="AI13" i="168"/>
  <c r="AG19" i="168"/>
  <c r="AG13" i="168"/>
  <c r="N19" i="168"/>
  <c r="N13" i="168"/>
  <c r="M19" i="168"/>
  <c r="M13" i="168"/>
  <c r="H19" i="168"/>
  <c r="H13" i="168"/>
  <c r="AJ22" i="168" l="1"/>
  <c r="J22" i="168"/>
  <c r="H22" i="168"/>
  <c r="N22" i="168"/>
  <c r="L24" i="168"/>
  <c r="AF22" i="168"/>
  <c r="AM24" i="168"/>
  <c r="AG22" i="168"/>
  <c r="K24" i="168"/>
  <c r="AH22" i="168"/>
  <c r="M22" i="168"/>
  <c r="I22" i="168"/>
  <c r="AK24" i="168"/>
  <c r="AI22" i="168"/>
  <c r="G24" i="168"/>
  <c r="E15" i="172"/>
  <c r="G39" i="172"/>
  <c r="G41" i="172" s="1"/>
  <c r="O70" i="173"/>
  <c r="Q70" i="173"/>
  <c r="E70" i="173"/>
  <c r="G70" i="173"/>
  <c r="F70" i="173"/>
  <c r="F39" i="172"/>
  <c r="S15" i="172"/>
  <c r="U39" i="172"/>
  <c r="AL22" i="168"/>
  <c r="L25" i="168" l="1"/>
  <c r="N24" i="168"/>
  <c r="AH24" i="168"/>
  <c r="K25" i="168"/>
  <c r="H24" i="168"/>
  <c r="AF24" i="168"/>
  <c r="G25" i="168"/>
  <c r="AG24" i="168"/>
  <c r="J24" i="168"/>
  <c r="M24" i="168"/>
  <c r="I24" i="168"/>
  <c r="AI24" i="168"/>
  <c r="AK25" i="168"/>
  <c r="AM25" i="168"/>
  <c r="AJ24" i="168"/>
  <c r="F41" i="172"/>
  <c r="F42" i="172" s="1"/>
  <c r="U47" i="172"/>
  <c r="U50" i="172" s="1"/>
  <c r="U45" i="172"/>
  <c r="F72" i="173"/>
  <c r="E72" i="173"/>
  <c r="G72" i="173"/>
  <c r="Q72" i="173"/>
  <c r="O72" i="173"/>
  <c r="S39" i="172"/>
  <c r="F45" i="172"/>
  <c r="E39" i="172"/>
  <c r="F47" i="172"/>
  <c r="G47" i="172"/>
  <c r="G42" i="172"/>
  <c r="U41" i="172"/>
  <c r="G45" i="172"/>
  <c r="U14" i="174"/>
  <c r="AL24" i="168"/>
  <c r="H25" i="168" l="1"/>
  <c r="J25" i="168"/>
  <c r="AH25" i="168"/>
  <c r="I25" i="168"/>
  <c r="AG25" i="168"/>
  <c r="N25" i="168"/>
  <c r="AI25" i="168"/>
  <c r="AF25" i="168"/>
  <c r="M25" i="168"/>
  <c r="AJ25" i="168"/>
  <c r="F50" i="172"/>
  <c r="G50" i="172"/>
  <c r="E45" i="172"/>
  <c r="E47" i="172"/>
  <c r="E41" i="172"/>
  <c r="S47" i="172"/>
  <c r="S45" i="172"/>
  <c r="S41" i="172"/>
  <c r="U42" i="172"/>
  <c r="AL25" i="168"/>
  <c r="S50" i="172" l="1"/>
  <c r="E50" i="172"/>
  <c r="S42" i="172"/>
  <c r="E42" i="172"/>
  <c r="F12" i="168" l="1"/>
  <c r="F19" i="168" s="1"/>
  <c r="E12" i="168"/>
  <c r="E19" i="168" s="1"/>
  <c r="C12" i="168"/>
  <c r="C19" i="168" s="1"/>
  <c r="E22" i="168" l="1"/>
  <c r="C22" i="168"/>
  <c r="F22" i="168"/>
  <c r="C13" i="168"/>
  <c r="E13" i="168"/>
  <c r="D12" i="168"/>
  <c r="D19" i="168" s="1"/>
  <c r="F13" i="168"/>
  <c r="D12" i="172"/>
  <c r="D22" i="168" l="1"/>
  <c r="C33" i="168"/>
  <c r="E28" i="168"/>
  <c r="D13" i="168"/>
  <c r="C12" i="172"/>
  <c r="C33" i="172"/>
  <c r="E33" i="168" l="1"/>
  <c r="F28" i="168"/>
  <c r="C28" i="168"/>
  <c r="C24" i="168"/>
  <c r="E24" i="168"/>
  <c r="F24" i="168"/>
  <c r="F33" i="168"/>
  <c r="C29" i="172"/>
  <c r="C16" i="172" s="1"/>
  <c r="D11" i="172"/>
  <c r="D14" i="172" l="1"/>
  <c r="D35" i="172" s="1"/>
  <c r="D44" i="172" s="1"/>
  <c r="F25" i="168"/>
  <c r="E25" i="168"/>
  <c r="C25" i="168"/>
  <c r="D15" i="172" l="1"/>
  <c r="C11" i="172"/>
  <c r="D39" i="172" l="1"/>
  <c r="D41" i="172" s="1"/>
  <c r="C14" i="172"/>
  <c r="C35" i="172" s="1"/>
  <c r="C44" i="172" s="1"/>
  <c r="C15" i="172" l="1"/>
  <c r="D47" i="172"/>
  <c r="D50" i="172" s="1"/>
  <c r="D45" i="172"/>
  <c r="D42" i="172"/>
  <c r="C39" i="172" l="1"/>
  <c r="C47" i="172" l="1"/>
  <c r="C45" i="172"/>
  <c r="C41" i="172"/>
  <c r="S12" i="174"/>
  <c r="R12" i="174"/>
  <c r="F12" i="174"/>
  <c r="E12" i="174"/>
  <c r="D12" i="174"/>
  <c r="C12" i="174"/>
  <c r="S10" i="174"/>
  <c r="R10" i="174"/>
  <c r="F10" i="174"/>
  <c r="E10" i="174"/>
  <c r="D10" i="174"/>
  <c r="C10" i="174"/>
  <c r="S9" i="174"/>
  <c r="R9" i="174"/>
  <c r="S8" i="174"/>
  <c r="R8" i="174"/>
  <c r="F8" i="174"/>
  <c r="E8" i="174"/>
  <c r="D8" i="174"/>
  <c r="C8" i="174"/>
  <c r="S7" i="174"/>
  <c r="R7" i="174"/>
  <c r="D68" i="173"/>
  <c r="C68" i="173"/>
  <c r="D59" i="173"/>
  <c r="C59" i="173"/>
  <c r="P71" i="171"/>
  <c r="O71" i="171"/>
  <c r="G71" i="171"/>
  <c r="F71" i="171"/>
  <c r="E71" i="171"/>
  <c r="D71" i="171"/>
  <c r="C71" i="171"/>
  <c r="P56" i="171"/>
  <c r="O56" i="171"/>
  <c r="G56" i="171"/>
  <c r="F56" i="171"/>
  <c r="E56" i="171"/>
  <c r="D56" i="171"/>
  <c r="C56" i="171"/>
  <c r="P44" i="171"/>
  <c r="O44" i="171"/>
  <c r="G44" i="171"/>
  <c r="F44" i="171"/>
  <c r="E44" i="171"/>
  <c r="D44" i="171"/>
  <c r="C44" i="171"/>
  <c r="P33" i="171"/>
  <c r="O33" i="171"/>
  <c r="G33" i="171"/>
  <c r="F33" i="171"/>
  <c r="E33" i="171"/>
  <c r="D33" i="171"/>
  <c r="C33" i="171"/>
  <c r="P22" i="171"/>
  <c r="O22" i="171"/>
  <c r="G22" i="171"/>
  <c r="F22" i="171"/>
  <c r="E22" i="171"/>
  <c r="D22" i="171"/>
  <c r="C22" i="171"/>
  <c r="C43" i="173" l="1"/>
  <c r="D43" i="173"/>
  <c r="C50" i="172"/>
  <c r="C42" i="172"/>
  <c r="F34" i="171"/>
  <c r="R11" i="174"/>
  <c r="R13" i="174" s="1"/>
  <c r="R14" i="174" s="1"/>
  <c r="E11" i="174"/>
  <c r="E13" i="174" s="1"/>
  <c r="S11" i="174"/>
  <c r="S13" i="174" s="1"/>
  <c r="S14" i="174" s="1"/>
  <c r="D34" i="171"/>
  <c r="G34" i="171"/>
  <c r="C72" i="171"/>
  <c r="G72" i="171"/>
  <c r="P72" i="171"/>
  <c r="C11" i="174"/>
  <c r="C13" i="174" s="1"/>
  <c r="F11" i="174"/>
  <c r="F13" i="174" s="1"/>
  <c r="D11" i="174"/>
  <c r="D13" i="174" s="1"/>
  <c r="P34" i="171"/>
  <c r="O34" i="171"/>
  <c r="E72" i="171"/>
  <c r="E34" i="171"/>
  <c r="C34" i="171"/>
  <c r="D72" i="171"/>
  <c r="F72" i="171"/>
  <c r="O72" i="171"/>
  <c r="D47" i="173" l="1"/>
  <c r="C47" i="173"/>
  <c r="P73" i="171"/>
  <c r="G73" i="171"/>
  <c r="C73" i="171"/>
  <c r="O73" i="171"/>
  <c r="F73" i="171"/>
  <c r="D73" i="171"/>
  <c r="E73" i="171"/>
  <c r="D70" i="173" l="1"/>
  <c r="C70" i="173"/>
  <c r="C72" i="173" l="1"/>
  <c r="D72" i="173"/>
  <c r="K1642" i="167"/>
  <c r="J1640" i="167" s="1"/>
  <c r="J1642" i="167" s="1"/>
  <c r="I1640" i="167" s="1"/>
  <c r="H1640" i="167"/>
  <c r="K1638" i="167"/>
  <c r="J1638" i="167"/>
  <c r="I1638" i="167"/>
  <c r="H1638" i="167"/>
  <c r="G1638" i="167"/>
  <c r="D1638" i="167"/>
  <c r="K1628" i="167"/>
  <c r="J1628" i="167"/>
  <c r="I1628" i="167"/>
  <c r="H1628" i="167"/>
  <c r="G1628" i="167"/>
  <c r="D1628" i="167"/>
  <c r="K1605" i="167"/>
  <c r="F1605" i="167"/>
  <c r="F1606" i="167" s="1"/>
  <c r="E1605" i="167"/>
  <c r="E1606" i="167" s="1"/>
  <c r="D1605" i="167"/>
  <c r="D1592" i="167"/>
  <c r="K1591" i="167"/>
  <c r="J1591" i="167"/>
  <c r="I1591" i="167"/>
  <c r="H1591" i="167"/>
  <c r="G1591" i="167"/>
  <c r="K1590" i="167"/>
  <c r="J1590" i="167"/>
  <c r="I1590" i="167"/>
  <c r="H1590" i="167"/>
  <c r="G1590" i="167"/>
  <c r="K1588" i="167"/>
  <c r="J1588" i="167"/>
  <c r="I1588" i="167"/>
  <c r="H1588" i="167"/>
  <c r="G1588" i="167"/>
  <c r="K1587" i="167"/>
  <c r="I1587" i="167"/>
  <c r="H1587" i="167"/>
  <c r="G1587" i="167"/>
  <c r="F1573" i="167"/>
  <c r="F1524" i="167" s="1"/>
  <c r="F1497" i="167" s="1"/>
  <c r="F1495" i="167" s="1"/>
  <c r="F1566" i="167"/>
  <c r="F1571" i="167" s="1"/>
  <c r="E1566" i="167"/>
  <c r="E1571" i="167" s="1"/>
  <c r="D1566" i="167"/>
  <c r="D1571" i="167" s="1"/>
  <c r="G1564" i="167"/>
  <c r="G1527" i="167" s="1"/>
  <c r="K1560" i="167"/>
  <c r="J1560" i="167"/>
  <c r="I1560" i="167"/>
  <c r="H1560" i="167"/>
  <c r="G1560" i="167"/>
  <c r="F1560" i="167"/>
  <c r="E1560" i="167"/>
  <c r="D1558" i="167"/>
  <c r="K1555" i="167"/>
  <c r="J1555" i="167"/>
  <c r="I1555" i="167"/>
  <c r="H1555" i="167"/>
  <c r="G1555" i="167"/>
  <c r="F1555" i="167"/>
  <c r="E1555" i="167"/>
  <c r="D1555" i="167"/>
  <c r="K1554" i="167"/>
  <c r="K1564" i="167" s="1"/>
  <c r="K1527" i="167" s="1"/>
  <c r="J1554" i="167"/>
  <c r="J1564" i="167" s="1"/>
  <c r="J1527" i="167" s="1"/>
  <c r="I1554" i="167"/>
  <c r="I1564" i="167" s="1"/>
  <c r="I1527" i="167" s="1"/>
  <c r="H1554" i="167"/>
  <c r="H1564" i="167" s="1"/>
  <c r="E1550" i="167"/>
  <c r="K1540" i="167"/>
  <c r="J1540" i="167"/>
  <c r="I1540" i="167"/>
  <c r="H1540" i="167"/>
  <c r="G1540" i="167"/>
  <c r="K1533" i="167"/>
  <c r="K1529" i="167" s="1"/>
  <c r="K1589" i="167" s="1"/>
  <c r="J1533" i="167"/>
  <c r="J1529" i="167" s="1"/>
  <c r="I1533" i="167"/>
  <c r="I1529" i="167" s="1"/>
  <c r="H1533" i="167"/>
  <c r="H1529" i="167" s="1"/>
  <c r="G1533" i="167"/>
  <c r="G1529" i="167" s="1"/>
  <c r="F1533" i="167"/>
  <c r="F1529" i="167" s="1"/>
  <c r="D1533" i="167"/>
  <c r="D1529" i="167"/>
  <c r="D1550" i="167" s="1"/>
  <c r="K1525" i="167"/>
  <c r="J1525" i="167"/>
  <c r="I1525" i="167"/>
  <c r="H1525" i="167"/>
  <c r="G1525" i="167"/>
  <c r="E1524" i="167"/>
  <c r="E91" i="167" s="1"/>
  <c r="D1524" i="167"/>
  <c r="D1497" i="167" s="1"/>
  <c r="D1495" i="167" s="1"/>
  <c r="D98" i="167" s="1"/>
  <c r="K1512" i="167"/>
  <c r="K1519" i="167" s="1"/>
  <c r="K1506" i="167" s="1"/>
  <c r="J1512" i="167"/>
  <c r="J1519" i="167" s="1"/>
  <c r="J1506" i="167" s="1"/>
  <c r="I1512" i="167"/>
  <c r="H1512" i="167"/>
  <c r="H1519" i="167" s="1"/>
  <c r="H1506" i="167" s="1"/>
  <c r="G1512" i="167"/>
  <c r="G1519" i="167" s="1"/>
  <c r="G1506" i="167" s="1"/>
  <c r="I1509" i="167"/>
  <c r="F1509" i="167"/>
  <c r="F1506" i="167" s="1"/>
  <c r="E1506" i="167"/>
  <c r="K1501" i="167"/>
  <c r="J1501" i="167"/>
  <c r="I1501" i="167"/>
  <c r="H1501" i="167"/>
  <c r="G1501" i="167"/>
  <c r="F1501" i="167"/>
  <c r="E1501" i="167"/>
  <c r="E74" i="167" s="1"/>
  <c r="D1501" i="167"/>
  <c r="D74" i="167" s="1"/>
  <c r="K1499" i="167"/>
  <c r="J1499" i="167"/>
  <c r="I1499" i="167"/>
  <c r="H1499" i="167"/>
  <c r="G1499" i="167"/>
  <c r="K1498" i="167"/>
  <c r="J1498" i="167"/>
  <c r="I1498" i="167"/>
  <c r="H1498" i="167"/>
  <c r="G1498" i="167"/>
  <c r="E1493" i="167"/>
  <c r="D1493" i="167"/>
  <c r="K1488" i="167"/>
  <c r="J1488" i="167"/>
  <c r="I1488" i="167"/>
  <c r="I1487" i="167" s="1"/>
  <c r="H1488" i="167"/>
  <c r="H1487" i="167" s="1"/>
  <c r="G1488" i="167"/>
  <c r="G1487" i="167" s="1"/>
  <c r="F1488" i="167"/>
  <c r="F1487" i="167" s="1"/>
  <c r="E1488" i="167"/>
  <c r="E64" i="167" s="1"/>
  <c r="D1488" i="167"/>
  <c r="D64" i="167" s="1"/>
  <c r="K1487" i="167"/>
  <c r="K1483" i="167"/>
  <c r="K81" i="167" s="1"/>
  <c r="J1483" i="167"/>
  <c r="J89" i="167" s="1"/>
  <c r="I1483" i="167"/>
  <c r="I97" i="167" s="1"/>
  <c r="H1483" i="167"/>
  <c r="H71" i="167" s="1"/>
  <c r="G1483" i="167"/>
  <c r="G97" i="167" s="1"/>
  <c r="F1483" i="167"/>
  <c r="F87" i="167" s="1"/>
  <c r="F1477" i="167"/>
  <c r="M1474" i="167"/>
  <c r="K1474" i="167"/>
  <c r="K1471" i="167" s="1"/>
  <c r="K1469" i="167" s="1"/>
  <c r="J1474" i="167"/>
  <c r="J1471" i="167" s="1"/>
  <c r="M1471" i="167"/>
  <c r="L1471" i="167"/>
  <c r="I1471" i="167"/>
  <c r="H1471" i="167"/>
  <c r="G1471" i="167"/>
  <c r="K1466" i="167"/>
  <c r="J1466" i="167" s="1"/>
  <c r="I1466" i="167" s="1"/>
  <c r="H1466" i="167" s="1"/>
  <c r="G1466" i="167" s="1"/>
  <c r="K1462" i="167"/>
  <c r="J1462" i="167" s="1"/>
  <c r="F1456" i="167"/>
  <c r="G1437" i="167"/>
  <c r="G58" i="167" s="1"/>
  <c r="K1426" i="167"/>
  <c r="J1426" i="167"/>
  <c r="I1426" i="167"/>
  <c r="H1426" i="167"/>
  <c r="G1426" i="167"/>
  <c r="K1423" i="167"/>
  <c r="J1423" i="167"/>
  <c r="I1423" i="167"/>
  <c r="H1423" i="167"/>
  <c r="G1423" i="167"/>
  <c r="J1418" i="167"/>
  <c r="I1418" i="167"/>
  <c r="H1418" i="167"/>
  <c r="G1418" i="167"/>
  <c r="F1415" i="167"/>
  <c r="F1458" i="167" s="1"/>
  <c r="K1406" i="167"/>
  <c r="J1406" i="167"/>
  <c r="I1406" i="167"/>
  <c r="H1406" i="167"/>
  <c r="G1406" i="167"/>
  <c r="K1382" i="167"/>
  <c r="J1382" i="167"/>
  <c r="I1382" i="167"/>
  <c r="H1382" i="167"/>
  <c r="G1382" i="167"/>
  <c r="K1365" i="167"/>
  <c r="J1365" i="167"/>
  <c r="I1365" i="167"/>
  <c r="H1365" i="167"/>
  <c r="G1365" i="167"/>
  <c r="F1365" i="167"/>
  <c r="F1358" i="167"/>
  <c r="K1351" i="167"/>
  <c r="K56" i="167" s="1"/>
  <c r="J1351" i="167"/>
  <c r="I1351" i="167"/>
  <c r="H1351" i="167"/>
  <c r="H56" i="167" s="1"/>
  <c r="G1351" i="167"/>
  <c r="K1342" i="167"/>
  <c r="J1342" i="167"/>
  <c r="I1342" i="167"/>
  <c r="H1342" i="167"/>
  <c r="G1342" i="167"/>
  <c r="K1338" i="167"/>
  <c r="J1338" i="167"/>
  <c r="I1338" i="167"/>
  <c r="H1338" i="167"/>
  <c r="G1338" i="167"/>
  <c r="F1335" i="167"/>
  <c r="F1360" i="167" s="1"/>
  <c r="I1330" i="167"/>
  <c r="I1326" i="167" s="1"/>
  <c r="H1330" i="167"/>
  <c r="G1327" i="167" s="1"/>
  <c r="G1330" i="167" s="1"/>
  <c r="G1326" i="167" s="1"/>
  <c r="F1324" i="167"/>
  <c r="E1324" i="167"/>
  <c r="D1324" i="167"/>
  <c r="K1323" i="167"/>
  <c r="J1323" i="167"/>
  <c r="K1321" i="167"/>
  <c r="J1321" i="167"/>
  <c r="I1318" i="167" s="1"/>
  <c r="I1321" i="167" s="1"/>
  <c r="H1318" i="167" s="1"/>
  <c r="H1321" i="167" s="1"/>
  <c r="G1318" i="167" s="1"/>
  <c r="G1321" i="167" s="1"/>
  <c r="K1316" i="167"/>
  <c r="J1316" i="167"/>
  <c r="F1306" i="167"/>
  <c r="E1306" i="167"/>
  <c r="D1306" i="167"/>
  <c r="K1305" i="167"/>
  <c r="J1305" i="167"/>
  <c r="K1303" i="167"/>
  <c r="J1303" i="167"/>
  <c r="I1300" i="167" s="1"/>
  <c r="I1303" i="167" s="1"/>
  <c r="H1300" i="167" s="1"/>
  <c r="H1303" i="167" s="1"/>
  <c r="G1300" i="167" s="1"/>
  <c r="G1303" i="167" s="1"/>
  <c r="K1298" i="167"/>
  <c r="J1298" i="167"/>
  <c r="I1293" i="167" s="1"/>
  <c r="F1288" i="167"/>
  <c r="E1288" i="167"/>
  <c r="D1288" i="167"/>
  <c r="K1287" i="167"/>
  <c r="K1285" i="167"/>
  <c r="J1282" i="167" s="1"/>
  <c r="J1285" i="167" s="1"/>
  <c r="I1282" i="167" s="1"/>
  <c r="I1285" i="167" s="1"/>
  <c r="H1282" i="167" s="1"/>
  <c r="H1285" i="167" s="1"/>
  <c r="G1282" i="167" s="1"/>
  <c r="G1285" i="167" s="1"/>
  <c r="K1280" i="167"/>
  <c r="F1270" i="167"/>
  <c r="E1270" i="167"/>
  <c r="D1270" i="167"/>
  <c r="K1269" i="167"/>
  <c r="K1267" i="167"/>
  <c r="J1264" i="167" s="1"/>
  <c r="J1267" i="167" s="1"/>
  <c r="I1264" i="167" s="1"/>
  <c r="I1267" i="167" s="1"/>
  <c r="H1264" i="167" s="1"/>
  <c r="H1267" i="167" s="1"/>
  <c r="G1264" i="167" s="1"/>
  <c r="G1267" i="167" s="1"/>
  <c r="K1262" i="167"/>
  <c r="F1252" i="167"/>
  <c r="E1252" i="167"/>
  <c r="D1252" i="167"/>
  <c r="K1251" i="167"/>
  <c r="K1249" i="167"/>
  <c r="J1246" i="167" s="1"/>
  <c r="J1249" i="167" s="1"/>
  <c r="I1246" i="167" s="1"/>
  <c r="I1249" i="167" s="1"/>
  <c r="H1246" i="167" s="1"/>
  <c r="H1249" i="167" s="1"/>
  <c r="G1246" i="167" s="1"/>
  <c r="G1249" i="167" s="1"/>
  <c r="K1244" i="167"/>
  <c r="F1231" i="167"/>
  <c r="E1231" i="167"/>
  <c r="D1231" i="167"/>
  <c r="K1230" i="167"/>
  <c r="K1228" i="167"/>
  <c r="J1228" i="167"/>
  <c r="I1225" i="167" s="1"/>
  <c r="K1223" i="167"/>
  <c r="J1219" i="167" s="1"/>
  <c r="I1223" i="167"/>
  <c r="H1219" i="167" s="1"/>
  <c r="H1223" i="167" s="1"/>
  <c r="G1219" i="167" s="1"/>
  <c r="G1223" i="167" s="1"/>
  <c r="F1213" i="167"/>
  <c r="E1213" i="167"/>
  <c r="D1213" i="167"/>
  <c r="K1212" i="167"/>
  <c r="J1212" i="167"/>
  <c r="K1210" i="167"/>
  <c r="J1210" i="167"/>
  <c r="I1210" i="167"/>
  <c r="H1210" i="167"/>
  <c r="G1207" i="167" s="1"/>
  <c r="G1210" i="167" s="1"/>
  <c r="K1205" i="167"/>
  <c r="J1205" i="167"/>
  <c r="F1194" i="167"/>
  <c r="E1194" i="167"/>
  <c r="D1194" i="167"/>
  <c r="K1193" i="167"/>
  <c r="J1193" i="167"/>
  <c r="K1191" i="167"/>
  <c r="J1191" i="167"/>
  <c r="I1188" i="167" s="1"/>
  <c r="I1191" i="167" s="1"/>
  <c r="H1188" i="167" s="1"/>
  <c r="H1191" i="167" s="1"/>
  <c r="G1188" i="167" s="1"/>
  <c r="G1191" i="167" s="1"/>
  <c r="K1186" i="167"/>
  <c r="J1186" i="167"/>
  <c r="F1175" i="167"/>
  <c r="E1175" i="167"/>
  <c r="D1175" i="167"/>
  <c r="K1174" i="167"/>
  <c r="K1172" i="167"/>
  <c r="J1169" i="167" s="1"/>
  <c r="J1172" i="167" s="1"/>
  <c r="I1169" i="167" s="1"/>
  <c r="I1172" i="167" s="1"/>
  <c r="H1169" i="167" s="1"/>
  <c r="H1172" i="167" s="1"/>
  <c r="G1169" i="167" s="1"/>
  <c r="G1172" i="167" s="1"/>
  <c r="K1167" i="167"/>
  <c r="F1156" i="167"/>
  <c r="E1156" i="167"/>
  <c r="D1156" i="167"/>
  <c r="K1155" i="167"/>
  <c r="I1153" i="167"/>
  <c r="H1150" i="167" s="1"/>
  <c r="H1153" i="167" s="1"/>
  <c r="G1150" i="167" s="1"/>
  <c r="G1153" i="167" s="1"/>
  <c r="J1150" i="167"/>
  <c r="J1153" i="167" s="1"/>
  <c r="K1148" i="167"/>
  <c r="F1137" i="167"/>
  <c r="E1137" i="167"/>
  <c r="D1137" i="167"/>
  <c r="K1136" i="167"/>
  <c r="J1136" i="167"/>
  <c r="K1134" i="167"/>
  <c r="J1134" i="167"/>
  <c r="I1134" i="167"/>
  <c r="H1134" i="167"/>
  <c r="G1131" i="167" s="1"/>
  <c r="G1134" i="167" s="1"/>
  <c r="K1129" i="167"/>
  <c r="J1129" i="167"/>
  <c r="I1122" i="167" s="1"/>
  <c r="I1136" i="167" s="1"/>
  <c r="H1128" i="167"/>
  <c r="G1128" i="167"/>
  <c r="O1108" i="167"/>
  <c r="N1108" i="167"/>
  <c r="M1108" i="167"/>
  <c r="L1108" i="167"/>
  <c r="K1108" i="167"/>
  <c r="J1108" i="167"/>
  <c r="I1108" i="167"/>
  <c r="H1108" i="167"/>
  <c r="G1108" i="167"/>
  <c r="F1108" i="167"/>
  <c r="E1108" i="167"/>
  <c r="D1108" i="167"/>
  <c r="P1102" i="167"/>
  <c r="O1102" i="167"/>
  <c r="N1096" i="167"/>
  <c r="N1102" i="167" s="1"/>
  <c r="M1096" i="167"/>
  <c r="L1096" i="167"/>
  <c r="K1096" i="167"/>
  <c r="J1096" i="167"/>
  <c r="I1096" i="167"/>
  <c r="H1096" i="167"/>
  <c r="G1096" i="167"/>
  <c r="F1096" i="167"/>
  <c r="E1096" i="167"/>
  <c r="D1096" i="167"/>
  <c r="Q1085" i="167"/>
  <c r="P1085" i="167"/>
  <c r="P1092" i="167" s="1"/>
  <c r="O1085" i="167"/>
  <c r="O813" i="167" s="1"/>
  <c r="N1085" i="167"/>
  <c r="N906" i="167" s="1"/>
  <c r="M1085" i="167"/>
  <c r="M1092" i="167" s="1"/>
  <c r="K1085" i="167"/>
  <c r="K813" i="167" s="1"/>
  <c r="J1085" i="167"/>
  <c r="J1092" i="167" s="1"/>
  <c r="I1085" i="167"/>
  <c r="I813" i="167" s="1"/>
  <c r="H1085" i="167"/>
  <c r="H1092" i="167" s="1"/>
  <c r="G1085" i="167"/>
  <c r="F1085" i="167"/>
  <c r="F1092" i="167" s="1"/>
  <c r="E1085" i="167"/>
  <c r="E906" i="167" s="1"/>
  <c r="D1071" i="167"/>
  <c r="O1070" i="167"/>
  <c r="N1070" i="167"/>
  <c r="M1070" i="167"/>
  <c r="L1070" i="167"/>
  <c r="K1070" i="167"/>
  <c r="J1070" i="167"/>
  <c r="I1070" i="167"/>
  <c r="H1070" i="167"/>
  <c r="G1070" i="167"/>
  <c r="F1070" i="167"/>
  <c r="E1070" i="167"/>
  <c r="D1070" i="167"/>
  <c r="O1069" i="167"/>
  <c r="N1069" i="167"/>
  <c r="M1069" i="167"/>
  <c r="L1069" i="167"/>
  <c r="K1069" i="167"/>
  <c r="J1069" i="167"/>
  <c r="I1069" i="167"/>
  <c r="H1069" i="167"/>
  <c r="G1069" i="167"/>
  <c r="F1069" i="167"/>
  <c r="E1069" i="167"/>
  <c r="D1069" i="167"/>
  <c r="Q1067" i="167"/>
  <c r="P1067" i="167"/>
  <c r="O1067" i="167"/>
  <c r="O1073" i="167" s="1"/>
  <c r="O1074" i="167" s="1"/>
  <c r="N1067" i="167"/>
  <c r="N1073" i="167" s="1"/>
  <c r="N1074" i="167" s="1"/>
  <c r="M1067" i="167"/>
  <c r="M1073" i="167" s="1"/>
  <c r="M1074" i="167" s="1"/>
  <c r="Q1066" i="167"/>
  <c r="Q1065" i="167"/>
  <c r="P1065" i="167"/>
  <c r="O1065" i="167"/>
  <c r="N1065" i="167"/>
  <c r="I1065" i="167"/>
  <c r="H1065" i="167"/>
  <c r="G1065" i="167"/>
  <c r="F1065" i="167"/>
  <c r="E1065" i="167"/>
  <c r="D1065" i="167"/>
  <c r="Q1064" i="167"/>
  <c r="P1064" i="167"/>
  <c r="O1064" i="167"/>
  <c r="N1064" i="167"/>
  <c r="I1064" i="167"/>
  <c r="H1064" i="167"/>
  <c r="G1064" i="167"/>
  <c r="F1064" i="167"/>
  <c r="E1064" i="167"/>
  <c r="D1064" i="167"/>
  <c r="Q1063" i="167"/>
  <c r="P1063" i="167"/>
  <c r="O1063" i="167"/>
  <c r="N1063" i="167"/>
  <c r="I1063" i="167"/>
  <c r="H1063" i="167"/>
  <c r="G1063" i="167"/>
  <c r="F1063" i="167"/>
  <c r="E1063" i="167"/>
  <c r="D1063" i="167"/>
  <c r="Q1062" i="167"/>
  <c r="P1062" i="167"/>
  <c r="O1062" i="167"/>
  <c r="N1062" i="167"/>
  <c r="M1062" i="167"/>
  <c r="L1062" i="167"/>
  <c r="K1062" i="167"/>
  <c r="J1062" i="167"/>
  <c r="I1062" i="167"/>
  <c r="H1062" i="167"/>
  <c r="G1062" i="167"/>
  <c r="F1062" i="167"/>
  <c r="E1062" i="167"/>
  <c r="D1062" i="167"/>
  <c r="Q1048" i="167"/>
  <c r="P1048" i="167"/>
  <c r="O1048" i="167"/>
  <c r="N1048" i="167"/>
  <c r="N1056" i="167" s="1"/>
  <c r="K1048" i="167"/>
  <c r="J1048" i="167"/>
  <c r="I1048" i="167"/>
  <c r="H1048" i="167"/>
  <c r="H1094" i="167" s="1"/>
  <c r="G1048" i="167"/>
  <c r="F1048" i="167"/>
  <c r="F1056" i="167" s="1"/>
  <c r="E1048" i="167"/>
  <c r="Q1042" i="167"/>
  <c r="Q1041" i="167"/>
  <c r="O1041" i="167"/>
  <c r="Q1040" i="167"/>
  <c r="P1040" i="167"/>
  <c r="O1040" i="167"/>
  <c r="N1040" i="167"/>
  <c r="M1040" i="167"/>
  <c r="L1040" i="167"/>
  <c r="K1040" i="167"/>
  <c r="J1040" i="167"/>
  <c r="I1040" i="167"/>
  <c r="H1040" i="167"/>
  <c r="G1040" i="167"/>
  <c r="F1040" i="167"/>
  <c r="E1040" i="167"/>
  <c r="Q1039" i="167"/>
  <c r="P1039" i="167"/>
  <c r="O1039" i="167"/>
  <c r="N1039" i="167"/>
  <c r="M1039" i="167"/>
  <c r="L1039" i="167"/>
  <c r="K1039" i="167"/>
  <c r="J1039" i="167"/>
  <c r="I1039" i="167"/>
  <c r="H1039" i="167"/>
  <c r="G1039" i="167"/>
  <c r="F1039" i="167"/>
  <c r="E1039" i="167"/>
  <c r="Q1038" i="167"/>
  <c r="P1038" i="167"/>
  <c r="O1038" i="167"/>
  <c r="N1038" i="167"/>
  <c r="M1038" i="167"/>
  <c r="L1038" i="167"/>
  <c r="K1038" i="167"/>
  <c r="J1038" i="167"/>
  <c r="I1038" i="167"/>
  <c r="H1038" i="167"/>
  <c r="G1038" i="167"/>
  <c r="F1038" i="167"/>
  <c r="E1038" i="167"/>
  <c r="D1038" i="167"/>
  <c r="Q1037" i="167"/>
  <c r="P1037" i="167"/>
  <c r="O1037" i="167"/>
  <c r="N1037" i="167"/>
  <c r="M1037" i="167"/>
  <c r="L1037" i="167"/>
  <c r="K1037" i="167"/>
  <c r="J1037" i="167"/>
  <c r="I1037" i="167"/>
  <c r="H1037" i="167"/>
  <c r="G1037" i="167"/>
  <c r="F1037" i="167"/>
  <c r="E1037" i="167"/>
  <c r="D1037" i="167"/>
  <c r="Q1036" i="167"/>
  <c r="K1033" i="167"/>
  <c r="J1033" i="167"/>
  <c r="K1028" i="167"/>
  <c r="J1028" i="167"/>
  <c r="K1023" i="167"/>
  <c r="J1023" i="167"/>
  <c r="K1018" i="167"/>
  <c r="J1018" i="167"/>
  <c r="K1013" i="167"/>
  <c r="J1013" i="167"/>
  <c r="K1002" i="167"/>
  <c r="J1002" i="167"/>
  <c r="I1002" i="167"/>
  <c r="H1002" i="167"/>
  <c r="G1002" i="167"/>
  <c r="F1002" i="167"/>
  <c r="E1002" i="167"/>
  <c r="K1000" i="167"/>
  <c r="H1000" i="167"/>
  <c r="F999" i="167"/>
  <c r="E999" i="167"/>
  <c r="D993" i="167"/>
  <c r="D979" i="167"/>
  <c r="L978" i="167"/>
  <c r="K978" i="167"/>
  <c r="J978" i="167"/>
  <c r="I978" i="167"/>
  <c r="H978" i="167"/>
  <c r="G978" i="167"/>
  <c r="F978" i="167"/>
  <c r="E978" i="167"/>
  <c r="D978" i="167"/>
  <c r="L971" i="167"/>
  <c r="L972" i="167" s="1"/>
  <c r="K971" i="167"/>
  <c r="J971" i="167"/>
  <c r="I971" i="167"/>
  <c r="H971" i="167"/>
  <c r="G971" i="167"/>
  <c r="F971" i="167"/>
  <c r="E971" i="167"/>
  <c r="D971" i="167"/>
  <c r="L963" i="167"/>
  <c r="E963" i="167"/>
  <c r="L962" i="167"/>
  <c r="K961" i="167"/>
  <c r="J961" i="167"/>
  <c r="I961" i="167"/>
  <c r="F961" i="167"/>
  <c r="E961" i="167"/>
  <c r="D955" i="167"/>
  <c r="D961" i="167" s="1"/>
  <c r="E953" i="167"/>
  <c r="L948" i="167"/>
  <c r="L949" i="167" s="1"/>
  <c r="K948" i="167"/>
  <c r="J948" i="167"/>
  <c r="I948" i="167"/>
  <c r="H948" i="167"/>
  <c r="G948" i="167"/>
  <c r="F948" i="167"/>
  <c r="D947" i="167"/>
  <c r="D946" i="167"/>
  <c r="N908" i="167"/>
  <c r="M908" i="167"/>
  <c r="L908" i="167"/>
  <c r="K908" i="167"/>
  <c r="J908" i="167"/>
  <c r="I908" i="167"/>
  <c r="H908" i="167"/>
  <c r="G908" i="167"/>
  <c r="F908" i="167"/>
  <c r="E908" i="167"/>
  <c r="D908" i="167"/>
  <c r="N907" i="167"/>
  <c r="M907" i="167"/>
  <c r="L907" i="167"/>
  <c r="K907" i="167"/>
  <c r="J907" i="167"/>
  <c r="I907" i="167"/>
  <c r="H907" i="167"/>
  <c r="G907" i="167"/>
  <c r="F907" i="167"/>
  <c r="E907" i="167"/>
  <c r="D907" i="167"/>
  <c r="H906" i="167"/>
  <c r="M905" i="167"/>
  <c r="L905" i="167"/>
  <c r="K905" i="167"/>
  <c r="J905" i="167"/>
  <c r="I905" i="167"/>
  <c r="H905" i="167"/>
  <c r="G905" i="167"/>
  <c r="F905" i="167"/>
  <c r="E905" i="167"/>
  <c r="D905" i="167"/>
  <c r="L887" i="167"/>
  <c r="L888" i="167" s="1"/>
  <c r="K887" i="167"/>
  <c r="K888" i="167" s="1"/>
  <c r="J887" i="167"/>
  <c r="J888" i="167" s="1"/>
  <c r="I887" i="167"/>
  <c r="I888" i="167" s="1"/>
  <c r="H887" i="167"/>
  <c r="H888" i="167" s="1"/>
  <c r="G887" i="167"/>
  <c r="G888" i="167" s="1"/>
  <c r="F887" i="167"/>
  <c r="F888" i="167" s="1"/>
  <c r="E887" i="167"/>
  <c r="E888" i="167" s="1"/>
  <c r="O884" i="167"/>
  <c r="N884" i="167"/>
  <c r="M884" i="167"/>
  <c r="L884" i="167"/>
  <c r="K884" i="167"/>
  <c r="J884" i="167"/>
  <c r="I884" i="167"/>
  <c r="H884" i="167"/>
  <c r="G884" i="167"/>
  <c r="F884" i="167"/>
  <c r="E884" i="167"/>
  <c r="D884" i="167"/>
  <c r="O870" i="167"/>
  <c r="N870" i="167"/>
  <c r="M870" i="167"/>
  <c r="L870" i="167"/>
  <c r="K870" i="167"/>
  <c r="J870" i="167"/>
  <c r="I870" i="167"/>
  <c r="H870" i="167"/>
  <c r="G870" i="167"/>
  <c r="F870" i="167"/>
  <c r="E870" i="167"/>
  <c r="D870" i="167"/>
  <c r="O869" i="167"/>
  <c r="N869" i="167"/>
  <c r="M869" i="167"/>
  <c r="L869" i="167"/>
  <c r="E869" i="167"/>
  <c r="D869" i="167"/>
  <c r="N867" i="167"/>
  <c r="M867" i="167"/>
  <c r="L867" i="167"/>
  <c r="K867" i="167"/>
  <c r="J867" i="167"/>
  <c r="I867" i="167"/>
  <c r="H867" i="167"/>
  <c r="G867" i="167"/>
  <c r="F867" i="167"/>
  <c r="E867" i="167"/>
  <c r="D867" i="167"/>
  <c r="E859" i="167"/>
  <c r="N857" i="167"/>
  <c r="M857" i="167"/>
  <c r="L857" i="167"/>
  <c r="K857" i="167"/>
  <c r="J857" i="167"/>
  <c r="I857" i="167"/>
  <c r="H857" i="167"/>
  <c r="G857" i="167"/>
  <c r="F857" i="167"/>
  <c r="E857" i="167"/>
  <c r="D857" i="167"/>
  <c r="P819" i="167"/>
  <c r="O819" i="167"/>
  <c r="N819" i="167"/>
  <c r="M819" i="167"/>
  <c r="K819" i="167"/>
  <c r="J819" i="167"/>
  <c r="I819" i="167"/>
  <c r="H819" i="167"/>
  <c r="G819" i="167"/>
  <c r="P815" i="167"/>
  <c r="O815" i="167"/>
  <c r="N815" i="167"/>
  <c r="K815" i="167"/>
  <c r="J815" i="167"/>
  <c r="I815" i="167"/>
  <c r="H815" i="167"/>
  <c r="G815" i="167"/>
  <c r="F815" i="167"/>
  <c r="E815" i="167"/>
  <c r="N812" i="167"/>
  <c r="M812" i="167"/>
  <c r="J812" i="167"/>
  <c r="I812" i="167"/>
  <c r="H812" i="167"/>
  <c r="G812" i="167"/>
  <c r="F812" i="167"/>
  <c r="E812" i="167"/>
  <c r="L806" i="167"/>
  <c r="D806" i="167"/>
  <c r="F791" i="167"/>
  <c r="F792" i="167" s="1"/>
  <c r="E786" i="167" s="1"/>
  <c r="E791" i="167"/>
  <c r="D791" i="167"/>
  <c r="F783" i="167"/>
  <c r="F784" i="167" s="1"/>
  <c r="E783" i="167"/>
  <c r="D783" i="167"/>
  <c r="P775" i="167"/>
  <c r="P776" i="167" s="1"/>
  <c r="O775" i="167"/>
  <c r="O776" i="167" s="1"/>
  <c r="N775" i="167"/>
  <c r="N776" i="167" s="1"/>
  <c r="M775" i="167"/>
  <c r="M776" i="167" s="1"/>
  <c r="L775" i="167"/>
  <c r="L776" i="167" s="1"/>
  <c r="K775" i="167"/>
  <c r="K776" i="167" s="1"/>
  <c r="J775" i="167"/>
  <c r="J776" i="167" s="1"/>
  <c r="I775" i="167"/>
  <c r="I776" i="167" s="1"/>
  <c r="H775" i="167"/>
  <c r="H776" i="167" s="1"/>
  <c r="G775" i="167"/>
  <c r="G776" i="167" s="1"/>
  <c r="E773" i="167"/>
  <c r="D773" i="167"/>
  <c r="P772" i="167"/>
  <c r="O772" i="167"/>
  <c r="N772" i="167"/>
  <c r="M772" i="167"/>
  <c r="L772" i="167"/>
  <c r="K772" i="167"/>
  <c r="J772" i="167"/>
  <c r="I772" i="167"/>
  <c r="H772" i="167"/>
  <c r="G772" i="167"/>
  <c r="F772" i="167"/>
  <c r="E772" i="167"/>
  <c r="D772" i="167"/>
  <c r="P765" i="167"/>
  <c r="P1066" i="167" s="1"/>
  <c r="O765" i="167"/>
  <c r="O1066" i="167" s="1"/>
  <c r="N765" i="167"/>
  <c r="N1066" i="167" s="1"/>
  <c r="M765" i="167"/>
  <c r="M1066" i="167" s="1"/>
  <c r="L765" i="167"/>
  <c r="K765" i="167"/>
  <c r="J765" i="167"/>
  <c r="I765" i="167"/>
  <c r="H765" i="167"/>
  <c r="G765" i="167"/>
  <c r="F765" i="167"/>
  <c r="F766" i="167" s="1"/>
  <c r="E765" i="167"/>
  <c r="D765" i="167"/>
  <c r="M762" i="167"/>
  <c r="M1063" i="167" s="1"/>
  <c r="L762" i="167"/>
  <c r="L1063" i="167" s="1"/>
  <c r="K762" i="167"/>
  <c r="K1063" i="167" s="1"/>
  <c r="J762" i="167"/>
  <c r="J763" i="167" s="1"/>
  <c r="J1064" i="167" s="1"/>
  <c r="Q760" i="167"/>
  <c r="Q1061" i="167" s="1"/>
  <c r="P760" i="167"/>
  <c r="P1061" i="167" s="1"/>
  <c r="O760" i="167"/>
  <c r="O1061" i="167" s="1"/>
  <c r="N760" i="167"/>
  <c r="N1061" i="167" s="1"/>
  <c r="M760" i="167"/>
  <c r="M1061" i="167" s="1"/>
  <c r="L760" i="167"/>
  <c r="L1061" i="167" s="1"/>
  <c r="K760" i="167"/>
  <c r="J760" i="167"/>
  <c r="I760" i="167"/>
  <c r="H760" i="167"/>
  <c r="G760" i="167"/>
  <c r="F760" i="167"/>
  <c r="Q757" i="167"/>
  <c r="P757" i="167"/>
  <c r="O757" i="167"/>
  <c r="N757" i="167"/>
  <c r="E757" i="167"/>
  <c r="N755" i="167"/>
  <c r="J755" i="167"/>
  <c r="I755" i="167"/>
  <c r="H755" i="167"/>
  <c r="G755" i="167"/>
  <c r="F755" i="167"/>
  <c r="E755" i="167"/>
  <c r="M749" i="167"/>
  <c r="L749" i="167"/>
  <c r="L1048" i="167" s="1"/>
  <c r="L1056" i="167" s="1"/>
  <c r="D749" i="167"/>
  <c r="P742" i="167"/>
  <c r="P1041" i="167" s="1"/>
  <c r="N742" i="167"/>
  <c r="M742" i="167"/>
  <c r="M1041" i="167" s="1"/>
  <c r="L742" i="167"/>
  <c r="K742" i="167"/>
  <c r="J742" i="167"/>
  <c r="I742" i="167"/>
  <c r="H742" i="167"/>
  <c r="G742" i="167"/>
  <c r="F742" i="167"/>
  <c r="E742" i="167"/>
  <c r="E1041" i="167" s="1"/>
  <c r="D741" i="167"/>
  <c r="D740" i="167"/>
  <c r="P737" i="167"/>
  <c r="P1036" i="167" s="1"/>
  <c r="Q612" i="167"/>
  <c r="P612" i="167"/>
  <c r="O612" i="167"/>
  <c r="N612" i="167"/>
  <c r="M612" i="167"/>
  <c r="L612" i="167"/>
  <c r="D612" i="167"/>
  <c r="C612" i="167"/>
  <c r="K611" i="167"/>
  <c r="J611" i="167"/>
  <c r="I611" i="167"/>
  <c r="K610" i="167"/>
  <c r="J610" i="167"/>
  <c r="I610" i="167"/>
  <c r="K609" i="167"/>
  <c r="J609" i="167"/>
  <c r="I609" i="167"/>
  <c r="K608" i="167"/>
  <c r="J608" i="167"/>
  <c r="I608" i="167"/>
  <c r="J607" i="167"/>
  <c r="I607" i="167"/>
  <c r="J606" i="167"/>
  <c r="I606" i="167"/>
  <c r="I605" i="167"/>
  <c r="H605" i="167"/>
  <c r="G605" i="167"/>
  <c r="H604" i="167"/>
  <c r="G604" i="167"/>
  <c r="H603" i="167"/>
  <c r="G603" i="167"/>
  <c r="H602" i="167"/>
  <c r="G602" i="167"/>
  <c r="F598" i="167"/>
  <c r="F597" i="167"/>
  <c r="F596" i="167"/>
  <c r="E595" i="167"/>
  <c r="E594" i="167"/>
  <c r="E593" i="167"/>
  <c r="D591" i="167"/>
  <c r="C591" i="167" s="1"/>
  <c r="Q589" i="167"/>
  <c r="P589" i="167"/>
  <c r="O589" i="167"/>
  <c r="N589" i="167"/>
  <c r="M589" i="167"/>
  <c r="L589" i="167" s="1"/>
  <c r="K589" i="167" s="1"/>
  <c r="J589" i="167" s="1"/>
  <c r="I589" i="167" s="1"/>
  <c r="H589" i="167" s="1"/>
  <c r="G589" i="167" s="1"/>
  <c r="F589" i="167" s="1"/>
  <c r="E589" i="167" s="1"/>
  <c r="D589" i="167" s="1"/>
  <c r="C589" i="167" s="1"/>
  <c r="P147" i="167"/>
  <c r="P45" i="167" s="1"/>
  <c r="O147" i="167"/>
  <c r="O139" i="167" s="1"/>
  <c r="N147" i="167"/>
  <c r="N139" i="167" s="1"/>
  <c r="M147" i="167"/>
  <c r="L147" i="167"/>
  <c r="L139" i="167" s="1"/>
  <c r="K147" i="167"/>
  <c r="K139" i="167" s="1"/>
  <c r="J147" i="167"/>
  <c r="J139" i="167" s="1"/>
  <c r="I147" i="167"/>
  <c r="H147" i="167"/>
  <c r="H45" i="167" s="1"/>
  <c r="G147" i="167"/>
  <c r="G139" i="167" s="1"/>
  <c r="F147" i="167"/>
  <c r="F139" i="167" s="1"/>
  <c r="E147" i="167"/>
  <c r="D147" i="167"/>
  <c r="D44" i="167" s="1"/>
  <c r="M143" i="167"/>
  <c r="M144" i="167" s="1"/>
  <c r="L143" i="167"/>
  <c r="L144" i="167" s="1"/>
  <c r="K143" i="167"/>
  <c r="K144" i="167" s="1"/>
  <c r="J143" i="167"/>
  <c r="J144" i="167" s="1"/>
  <c r="I143" i="167"/>
  <c r="I144" i="167" s="1"/>
  <c r="H143" i="167"/>
  <c r="H144" i="167" s="1"/>
  <c r="G143" i="167"/>
  <c r="G144" i="167" s="1"/>
  <c r="F143" i="167"/>
  <c r="F144" i="167" s="1"/>
  <c r="E143" i="167"/>
  <c r="E144" i="167" s="1"/>
  <c r="D143" i="167"/>
  <c r="D144" i="167" s="1"/>
  <c r="M133" i="167"/>
  <c r="M136" i="167" s="1"/>
  <c r="L133" i="167"/>
  <c r="K133" i="167"/>
  <c r="J133" i="167"/>
  <c r="I133" i="167"/>
  <c r="H133" i="167"/>
  <c r="G133" i="167"/>
  <c r="F133" i="167"/>
  <c r="E133" i="167"/>
  <c r="E136" i="167" s="1"/>
  <c r="D133" i="167"/>
  <c r="C133" i="167"/>
  <c r="E126" i="167"/>
  <c r="D126" i="167"/>
  <c r="E125" i="167"/>
  <c r="D125" i="167"/>
  <c r="E121" i="167"/>
  <c r="D121" i="167"/>
  <c r="E115" i="167"/>
  <c r="D115" i="167"/>
  <c r="E114" i="167"/>
  <c r="D114" i="167"/>
  <c r="D113" i="167"/>
  <c r="D112" i="167"/>
  <c r="E97" i="167"/>
  <c r="D97" i="167"/>
  <c r="E94" i="167"/>
  <c r="D94" i="167"/>
  <c r="E93" i="167"/>
  <c r="D93" i="167"/>
  <c r="E90" i="167"/>
  <c r="D90" i="167"/>
  <c r="E89" i="167"/>
  <c r="D89" i="167"/>
  <c r="E88" i="167"/>
  <c r="D88" i="167"/>
  <c r="E87" i="167"/>
  <c r="D87" i="167"/>
  <c r="E83" i="167"/>
  <c r="D83" i="167"/>
  <c r="E82" i="167"/>
  <c r="D82" i="167"/>
  <c r="E81" i="167"/>
  <c r="D81" i="167"/>
  <c r="E80" i="167"/>
  <c r="D80" i="167"/>
  <c r="E79" i="167"/>
  <c r="D79" i="167"/>
  <c r="J73" i="167"/>
  <c r="E73" i="167"/>
  <c r="D73" i="167"/>
  <c r="E72" i="167"/>
  <c r="D72" i="167"/>
  <c r="E71" i="167"/>
  <c r="D71" i="167"/>
  <c r="E70" i="167"/>
  <c r="D70" i="167"/>
  <c r="E67" i="167"/>
  <c r="D67" i="167"/>
  <c r="E65" i="167"/>
  <c r="D65" i="167"/>
  <c r="E63" i="167"/>
  <c r="D63" i="167"/>
  <c r="F59" i="167"/>
  <c r="E59" i="167"/>
  <c r="D59" i="167"/>
  <c r="K58" i="167"/>
  <c r="J58" i="167"/>
  <c r="I58" i="167"/>
  <c r="H58" i="167"/>
  <c r="F58" i="167"/>
  <c r="E58" i="167"/>
  <c r="D58" i="167"/>
  <c r="F56" i="167"/>
  <c r="E56" i="167"/>
  <c r="D56" i="167"/>
  <c r="E54" i="167"/>
  <c r="D54" i="167"/>
  <c r="F51" i="167"/>
  <c r="E51" i="167"/>
  <c r="D51" i="167"/>
  <c r="K47" i="167"/>
  <c r="E35" i="167"/>
  <c r="D35" i="167"/>
  <c r="K34" i="167"/>
  <c r="J34" i="167"/>
  <c r="I34" i="167"/>
  <c r="H34" i="167"/>
  <c r="G34" i="167"/>
  <c r="F34" i="167"/>
  <c r="E34" i="167"/>
  <c r="D34" i="167"/>
  <c r="K33" i="167"/>
  <c r="J33" i="167"/>
  <c r="I33" i="167"/>
  <c r="H33" i="167"/>
  <c r="G33" i="167"/>
  <c r="F33" i="167"/>
  <c r="E33" i="167"/>
  <c r="D33" i="167"/>
  <c r="K32" i="167"/>
  <c r="J32" i="167"/>
  <c r="I32" i="167"/>
  <c r="H32" i="167"/>
  <c r="G32" i="167"/>
  <c r="F32" i="167"/>
  <c r="E32" i="167"/>
  <c r="D32" i="167"/>
  <c r="K31" i="167"/>
  <c r="J31" i="167"/>
  <c r="I31" i="167"/>
  <c r="H31" i="167"/>
  <c r="G31" i="167"/>
  <c r="F31" i="167"/>
  <c r="E31" i="167"/>
  <c r="D31" i="167"/>
  <c r="F30" i="167"/>
  <c r="E30" i="167"/>
  <c r="P26" i="167"/>
  <c r="O26" i="167"/>
  <c r="N26" i="167"/>
  <c r="M26" i="167"/>
  <c r="L26" i="167"/>
  <c r="K26" i="167"/>
  <c r="J26" i="167"/>
  <c r="I26" i="167"/>
  <c r="H26" i="167"/>
  <c r="G26" i="167"/>
  <c r="F26" i="167"/>
  <c r="E26" i="167"/>
  <c r="P25" i="167"/>
  <c r="O25" i="167"/>
  <c r="N25" i="167"/>
  <c r="M25" i="167"/>
  <c r="L25" i="167"/>
  <c r="K25" i="167"/>
  <c r="J25" i="167"/>
  <c r="I25" i="167"/>
  <c r="H25" i="167"/>
  <c r="G25" i="167"/>
  <c r="F25" i="167"/>
  <c r="E25" i="167"/>
  <c r="P24" i="167"/>
  <c r="O24" i="167"/>
  <c r="N24" i="167"/>
  <c r="M24" i="167"/>
  <c r="L24" i="167"/>
  <c r="K24" i="167"/>
  <c r="J24" i="167"/>
  <c r="I24" i="167"/>
  <c r="H24" i="167"/>
  <c r="G24" i="167"/>
  <c r="F24" i="167"/>
  <c r="E24" i="167"/>
  <c r="D16" i="167"/>
  <c r="D15" i="167"/>
  <c r="D14" i="167"/>
  <c r="D13" i="167"/>
  <c r="O12" i="167"/>
  <c r="O747" i="167" s="1"/>
  <c r="N12" i="167"/>
  <c r="M12" i="167"/>
  <c r="L12" i="167"/>
  <c r="K12" i="167"/>
  <c r="K859" i="167" s="1"/>
  <c r="J12" i="167"/>
  <c r="J859" i="167" s="1"/>
  <c r="I12" i="167"/>
  <c r="H12" i="167"/>
  <c r="G12" i="167"/>
  <c r="G859" i="167" s="1"/>
  <c r="F12" i="167"/>
  <c r="F859" i="167" s="1"/>
  <c r="P4" i="167"/>
  <c r="O4" i="167"/>
  <c r="N4" i="167"/>
  <c r="M4" i="167"/>
  <c r="L4" i="167"/>
  <c r="D4" i="167"/>
  <c r="I73" i="167" l="1"/>
  <c r="I65" i="167"/>
  <c r="I89" i="167"/>
  <c r="K65" i="167"/>
  <c r="H813" i="167"/>
  <c r="G1091" i="167"/>
  <c r="J1214" i="167"/>
  <c r="J1197" i="167" s="1"/>
  <c r="E1497" i="167"/>
  <c r="E1495" i="167" s="1"/>
  <c r="E98" i="167" s="1"/>
  <c r="D868" i="167"/>
  <c r="L868" i="167"/>
  <c r="N45" i="167"/>
  <c r="F41" i="167"/>
  <c r="F109" i="167" s="1"/>
  <c r="D1066" i="167"/>
  <c r="L1066" i="167"/>
  <c r="J93" i="167"/>
  <c r="F98" i="167"/>
  <c r="J612" i="167"/>
  <c r="G612" i="167"/>
  <c r="H868" i="167"/>
  <c r="D948" i="167"/>
  <c r="I82" i="167"/>
  <c r="J80" i="167"/>
  <c r="F136" i="167"/>
  <c r="H139" i="167"/>
  <c r="G82" i="167"/>
  <c r="F3" i="167"/>
  <c r="F63" i="167" s="1"/>
  <c r="D1085" i="167"/>
  <c r="D813" i="167" s="1"/>
  <c r="O45" i="167"/>
  <c r="K66" i="167"/>
  <c r="K612" i="167"/>
  <c r="I74" i="167"/>
  <c r="G67" i="167"/>
  <c r="G93" i="167"/>
  <c r="K87" i="167"/>
  <c r="D91" i="167"/>
  <c r="G813" i="167"/>
  <c r="J1120" i="167"/>
  <c r="G115" i="167"/>
  <c r="H1364" i="167"/>
  <c r="H59" i="167" s="1"/>
  <c r="H57" i="167" s="1"/>
  <c r="H55" i="167" s="1"/>
  <c r="I67" i="167"/>
  <c r="G45" i="167"/>
  <c r="D57" i="167"/>
  <c r="D122" i="167" s="1"/>
  <c r="I72" i="167"/>
  <c r="E612" i="167"/>
  <c r="O1094" i="167"/>
  <c r="I3" i="167"/>
  <c r="I963" i="167" s="1"/>
  <c r="L45" i="167"/>
  <c r="F50" i="167"/>
  <c r="F49" i="167" s="1"/>
  <c r="I66" i="167"/>
  <c r="I70" i="167"/>
  <c r="I71" i="167"/>
  <c r="F115" i="167"/>
  <c r="G42" i="167"/>
  <c r="G135" i="167" s="1"/>
  <c r="K42" i="167"/>
  <c r="K135" i="167" s="1"/>
  <c r="P139" i="167"/>
  <c r="D742" i="167"/>
  <c r="K906" i="167"/>
  <c r="D1040" i="167"/>
  <c r="K1493" i="167"/>
  <c r="G79" i="167"/>
  <c r="J82" i="167"/>
  <c r="I90" i="167"/>
  <c r="D12" i="167"/>
  <c r="D859" i="167" s="1"/>
  <c r="D41" i="167"/>
  <c r="D109" i="167" s="1"/>
  <c r="G56" i="167"/>
  <c r="D68" i="167"/>
  <c r="D108" i="167" s="1"/>
  <c r="J66" i="167"/>
  <c r="J70" i="167"/>
  <c r="I80" i="167"/>
  <c r="I81" i="167"/>
  <c r="F89" i="167"/>
  <c r="I93" i="167"/>
  <c r="D42" i="167"/>
  <c r="D135" i="167" s="1"/>
  <c r="H42" i="167"/>
  <c r="H135" i="167" s="1"/>
  <c r="L42" i="167"/>
  <c r="L135" i="167" s="1"/>
  <c r="F612" i="167"/>
  <c r="H612" i="167"/>
  <c r="I612" i="167"/>
  <c r="D1102" i="167"/>
  <c r="H1102" i="167"/>
  <c r="L1102" i="167"/>
  <c r="I1129" i="167"/>
  <c r="H1122" i="167" s="1"/>
  <c r="H1136" i="167" s="1"/>
  <c r="G114" i="167"/>
  <c r="I115" i="167"/>
  <c r="F1479" i="167"/>
  <c r="J1456" i="167"/>
  <c r="I83" i="167"/>
  <c r="F67" i="167"/>
  <c r="F68" i="167" s="1"/>
  <c r="J64" i="167"/>
  <c r="I94" i="167"/>
  <c r="K90" i="167"/>
  <c r="G1493" i="167"/>
  <c r="J42" i="167"/>
  <c r="J135" i="167" s="1"/>
  <c r="I42" i="167"/>
  <c r="I135" i="167" s="1"/>
  <c r="G906" i="167"/>
  <c r="G1000" i="167"/>
  <c r="G1094" i="167"/>
  <c r="P813" i="167"/>
  <c r="J1487" i="167"/>
  <c r="J67" i="167" s="1"/>
  <c r="H82" i="167"/>
  <c r="H3" i="167"/>
  <c r="H63" i="167" s="1"/>
  <c r="K45" i="167"/>
  <c r="E68" i="167"/>
  <c r="E108" i="167" s="1"/>
  <c r="H70" i="167"/>
  <c r="H89" i="167"/>
  <c r="E124" i="167"/>
  <c r="J1041" i="167"/>
  <c r="J1046" i="167" s="1"/>
  <c r="E813" i="167"/>
  <c r="G1595" i="167"/>
  <c r="G1605" i="167" s="1"/>
  <c r="F1520" i="167"/>
  <c r="F76" i="167" s="1"/>
  <c r="E1094" i="167"/>
  <c r="I1094" i="167"/>
  <c r="G94" i="167"/>
  <c r="K94" i="167"/>
  <c r="G74" i="167"/>
  <c r="K74" i="167"/>
  <c r="G90" i="167"/>
  <c r="E50" i="167"/>
  <c r="E49" i="167" s="1"/>
  <c r="E57" i="167"/>
  <c r="E55" i="167" s="1"/>
  <c r="F57" i="167"/>
  <c r="F55" i="167" s="1"/>
  <c r="F120" i="167" s="1"/>
  <c r="K1271" i="167"/>
  <c r="K1270" i="167" s="1"/>
  <c r="I64" i="167"/>
  <c r="F1550" i="167"/>
  <c r="F79" i="167"/>
  <c r="J1589" i="167"/>
  <c r="J79" i="167"/>
  <c r="D36" i="167"/>
  <c r="D39" i="167" s="1"/>
  <c r="N41" i="167"/>
  <c r="J45" i="167"/>
  <c r="J65" i="167"/>
  <c r="F70" i="167"/>
  <c r="F72" i="167"/>
  <c r="J74" i="167"/>
  <c r="J81" i="167"/>
  <c r="F82" i="167"/>
  <c r="J83" i="167"/>
  <c r="J87" i="167"/>
  <c r="F88" i="167"/>
  <c r="F93" i="167"/>
  <c r="J94" i="167"/>
  <c r="J97" i="167"/>
  <c r="E766" i="167"/>
  <c r="D760" i="167" s="1"/>
  <c r="F1000" i="167"/>
  <c r="F114" i="167"/>
  <c r="J3" i="167"/>
  <c r="J869" i="167" s="1"/>
  <c r="F42" i="167"/>
  <c r="F135" i="167" s="1"/>
  <c r="M42" i="167"/>
  <c r="M135" i="167" s="1"/>
  <c r="J71" i="167"/>
  <c r="F73" i="167"/>
  <c r="F74" i="167"/>
  <c r="F80" i="167"/>
  <c r="F90" i="167"/>
  <c r="F91" i="167"/>
  <c r="F97" i="167"/>
  <c r="E113" i="167"/>
  <c r="H115" i="167"/>
  <c r="J115" i="167"/>
  <c r="H1493" i="167"/>
  <c r="F45" i="167"/>
  <c r="F64" i="167"/>
  <c r="F65" i="167"/>
  <c r="F71" i="167"/>
  <c r="J72" i="167"/>
  <c r="F81" i="167"/>
  <c r="F83" i="167"/>
  <c r="F94" i="167"/>
  <c r="F95" i="167"/>
  <c r="F18" i="167" s="1"/>
  <c r="G1102" i="167"/>
  <c r="K1102" i="167"/>
  <c r="K1176" i="167"/>
  <c r="K1159" i="167" s="1"/>
  <c r="G1364" i="167"/>
  <c r="G59" i="167" s="1"/>
  <c r="G57" i="167" s="1"/>
  <c r="K1364" i="167"/>
  <c r="K59" i="167" s="1"/>
  <c r="K57" i="167" s="1"/>
  <c r="K55" i="167" s="1"/>
  <c r="K1456" i="167"/>
  <c r="E868" i="167"/>
  <c r="I868" i="167"/>
  <c r="I56" i="167"/>
  <c r="K64" i="167"/>
  <c r="G81" i="167"/>
  <c r="N813" i="167"/>
  <c r="I906" i="167"/>
  <c r="I1364" i="167"/>
  <c r="I1415" i="167" s="1"/>
  <c r="F125" i="167"/>
  <c r="I1493" i="167"/>
  <c r="H94" i="167"/>
  <c r="H74" i="167"/>
  <c r="H1520" i="167"/>
  <c r="H76" i="167" s="1"/>
  <c r="I87" i="167"/>
  <c r="D1606" i="167"/>
  <c r="D1611" i="167" s="1"/>
  <c r="D1641" i="167" s="1"/>
  <c r="D1642" i="167" s="1"/>
  <c r="M868" i="167"/>
  <c r="K3" i="167"/>
  <c r="K757" i="167" s="1"/>
  <c r="G65" i="167"/>
  <c r="D84" i="167"/>
  <c r="K80" i="167"/>
  <c r="E36" i="167"/>
  <c r="E39" i="167" s="1"/>
  <c r="L41" i="167"/>
  <c r="D45" i="167"/>
  <c r="G64" i="167"/>
  <c r="K72" i="167"/>
  <c r="G73" i="167"/>
  <c r="E84" i="167"/>
  <c r="K79" i="167"/>
  <c r="G80" i="167"/>
  <c r="K83" i="167"/>
  <c r="G87" i="167"/>
  <c r="D139" i="167"/>
  <c r="E747" i="167"/>
  <c r="G1066" i="167"/>
  <c r="K1066" i="167"/>
  <c r="J1195" i="167"/>
  <c r="J1194" i="167" s="1"/>
  <c r="G1456" i="167"/>
  <c r="F44" i="167"/>
  <c r="G3" i="167"/>
  <c r="G757" i="167" s="1"/>
  <c r="G66" i="167"/>
  <c r="K73" i="167"/>
  <c r="K67" i="167"/>
  <c r="G70" i="167"/>
  <c r="K70" i="167"/>
  <c r="G71" i="167"/>
  <c r="K71" i="167"/>
  <c r="G72" i="167"/>
  <c r="K82" i="167"/>
  <c r="G83" i="167"/>
  <c r="G89" i="167"/>
  <c r="K89" i="167"/>
  <c r="K93" i="167"/>
  <c r="K97" i="167"/>
  <c r="K115" i="167"/>
  <c r="H1066" i="167"/>
  <c r="N1094" i="167"/>
  <c r="J1102" i="167"/>
  <c r="J114" i="167"/>
  <c r="I1595" i="167"/>
  <c r="I1605" i="167" s="1"/>
  <c r="H1456" i="167"/>
  <c r="J90" i="167"/>
  <c r="F126" i="167"/>
  <c r="K1195" i="167"/>
  <c r="K1178" i="167" s="1"/>
  <c r="H36" i="167"/>
  <c r="J1257" i="167"/>
  <c r="K1307" i="167"/>
  <c r="K1306" i="167" s="1"/>
  <c r="J1325" i="167"/>
  <c r="J1309" i="167" s="1"/>
  <c r="J56" i="167"/>
  <c r="K1325" i="167"/>
  <c r="K1309" i="167" s="1"/>
  <c r="H1326" i="167"/>
  <c r="H1550" i="167"/>
  <c r="H1526" i="167"/>
  <c r="H88" i="167" s="1"/>
  <c r="H79" i="167"/>
  <c r="I1230" i="167"/>
  <c r="I1228" i="167"/>
  <c r="H1225" i="167" s="1"/>
  <c r="H1228" i="167" s="1"/>
  <c r="G1225" i="167" s="1"/>
  <c r="G1228" i="167" s="1"/>
  <c r="G1232" i="167" s="1"/>
  <c r="I1550" i="167"/>
  <c r="I79" i="167"/>
  <c r="I1526" i="167"/>
  <c r="I88" i="167" s="1"/>
  <c r="H1527" i="167"/>
  <c r="H90" i="167" s="1"/>
  <c r="H83" i="167"/>
  <c r="F121" i="167"/>
  <c r="E112" i="167"/>
  <c r="O10" i="167"/>
  <c r="N10" i="167" s="1"/>
  <c r="N858" i="167" s="1"/>
  <c r="F54" i="167"/>
  <c r="H64" i="167"/>
  <c r="H65" i="167"/>
  <c r="H114" i="167"/>
  <c r="F124" i="167"/>
  <c r="F813" i="167"/>
  <c r="J813" i="167"/>
  <c r="G868" i="167"/>
  <c r="K868" i="167"/>
  <c r="F1094" i="167"/>
  <c r="J1094" i="167"/>
  <c r="H1056" i="167"/>
  <c r="J1063" i="167"/>
  <c r="I1180" i="167"/>
  <c r="I1193" i="167" s="1"/>
  <c r="J1307" i="167"/>
  <c r="J1291" i="167" s="1"/>
  <c r="J1364" i="167"/>
  <c r="K1477" i="167"/>
  <c r="E1520" i="167"/>
  <c r="E1522" i="167" s="1"/>
  <c r="J1526" i="167"/>
  <c r="J88" i="167" s="1"/>
  <c r="F1102" i="167"/>
  <c r="I1305" i="167"/>
  <c r="O11" i="167"/>
  <c r="O28" i="167" s="1"/>
  <c r="E42" i="167"/>
  <c r="E135" i="167" s="1"/>
  <c r="D50" i="167"/>
  <c r="D49" i="167" s="1"/>
  <c r="H66" i="167"/>
  <c r="H67" i="167"/>
  <c r="H80" i="167"/>
  <c r="H81" i="167"/>
  <c r="H87" i="167"/>
  <c r="H97" i="167"/>
  <c r="I114" i="167"/>
  <c r="P743" i="167"/>
  <c r="O745" i="167" s="1"/>
  <c r="O756" i="167" s="1"/>
  <c r="K755" i="167"/>
  <c r="F906" i="167"/>
  <c r="J906" i="167"/>
  <c r="J1056" i="167"/>
  <c r="E1102" i="167"/>
  <c r="I1102" i="167"/>
  <c r="M1102" i="167"/>
  <c r="K1138" i="167"/>
  <c r="K1137" i="167" s="1"/>
  <c r="I1199" i="167"/>
  <c r="H1358" i="167"/>
  <c r="J1595" i="167"/>
  <c r="J1605" i="167" s="1"/>
  <c r="F1493" i="167"/>
  <c r="J1493" i="167"/>
  <c r="J1520" i="167"/>
  <c r="J76" i="167" s="1"/>
  <c r="D1520" i="167"/>
  <c r="J1550" i="167"/>
  <c r="G36" i="167"/>
  <c r="F36" i="167"/>
  <c r="F39" i="167" s="1"/>
  <c r="J36" i="167"/>
  <c r="H72" i="167"/>
  <c r="H73" i="167"/>
  <c r="H93" i="167"/>
  <c r="D95" i="167"/>
  <c r="D124" i="167"/>
  <c r="L136" i="167"/>
  <c r="F868" i="167"/>
  <c r="J868" i="167"/>
  <c r="N868" i="167"/>
  <c r="J1000" i="167"/>
  <c r="E1054" i="167"/>
  <c r="J1161" i="167"/>
  <c r="I1311" i="167"/>
  <c r="I1323" i="167" s="1"/>
  <c r="I1358" i="167"/>
  <c r="H1595" i="167"/>
  <c r="H1605" i="167" s="1"/>
  <c r="H953" i="167"/>
  <c r="H859" i="167"/>
  <c r="L1085" i="167"/>
  <c r="L813" i="167" s="1"/>
  <c r="L812" i="167"/>
  <c r="I859" i="167"/>
  <c r="I747" i="167"/>
  <c r="M859" i="167"/>
  <c r="M747" i="167"/>
  <c r="K36" i="167"/>
  <c r="E139" i="167"/>
  <c r="E45" i="167"/>
  <c r="E44" i="167"/>
  <c r="E41" i="167"/>
  <c r="E109" i="167" s="1"/>
  <c r="I139" i="167"/>
  <c r="I45" i="167"/>
  <c r="M139" i="167"/>
  <c r="M45" i="167"/>
  <c r="M41" i="167"/>
  <c r="G747" i="167"/>
  <c r="F794" i="167"/>
  <c r="F795" i="167" s="1"/>
  <c r="E778" i="167"/>
  <c r="E784" i="167" s="1"/>
  <c r="E792" i="167"/>
  <c r="D786" i="167" s="1"/>
  <c r="D792" i="167" s="1"/>
  <c r="N859" i="167"/>
  <c r="I1041" i="167"/>
  <c r="I953" i="167"/>
  <c r="F953" i="167"/>
  <c r="L1067" i="167"/>
  <c r="L1073" i="167" s="1"/>
  <c r="L1074" i="167" s="1"/>
  <c r="K966" i="167"/>
  <c r="J963" i="167"/>
  <c r="J757" i="167"/>
  <c r="D136" i="167"/>
  <c r="K747" i="167"/>
  <c r="M1048" i="167"/>
  <c r="M815" i="167"/>
  <c r="M757" i="167"/>
  <c r="M755" i="167"/>
  <c r="L763" i="167"/>
  <c r="F775" i="167"/>
  <c r="F776" i="167" s="1"/>
  <c r="E760" i="167"/>
  <c r="J764" i="167"/>
  <c r="J1065" i="167" s="1"/>
  <c r="F1041" i="167"/>
  <c r="J953" i="167"/>
  <c r="G1056" i="167"/>
  <c r="K1056" i="167"/>
  <c r="K1094" i="167"/>
  <c r="M906" i="167"/>
  <c r="M813" i="167"/>
  <c r="L953" i="167"/>
  <c r="L859" i="167"/>
  <c r="F963" i="167"/>
  <c r="I36" i="167"/>
  <c r="F747" i="167"/>
  <c r="J747" i="167"/>
  <c r="N747" i="167"/>
  <c r="N1041" i="167"/>
  <c r="K812" i="167"/>
  <c r="G953" i="167"/>
  <c r="K953" i="167"/>
  <c r="K943" i="167"/>
  <c r="D1092" i="167"/>
  <c r="D1091" i="167"/>
  <c r="D906" i="167"/>
  <c r="P1044" i="167"/>
  <c r="H747" i="167"/>
  <c r="L747" i="167"/>
  <c r="P747" i="167"/>
  <c r="D755" i="167"/>
  <c r="L755" i="167"/>
  <c r="D757" i="167"/>
  <c r="L757" i="167"/>
  <c r="M763" i="167"/>
  <c r="D812" i="167"/>
  <c r="E1091" i="167"/>
  <c r="E1000" i="167"/>
  <c r="I1000" i="167"/>
  <c r="D815" i="167"/>
  <c r="L815" i="167"/>
  <c r="D1039" i="167"/>
  <c r="G1041" i="167"/>
  <c r="K1041" i="167"/>
  <c r="E1066" i="167"/>
  <c r="I1066" i="167"/>
  <c r="E1092" i="167"/>
  <c r="J1230" i="167"/>
  <c r="J1223" i="167"/>
  <c r="J1232" i="167" s="1"/>
  <c r="E1046" i="167"/>
  <c r="M1046" i="167"/>
  <c r="P745" i="167"/>
  <c r="P756" i="167" s="1"/>
  <c r="K763" i="167"/>
  <c r="H1041" i="167"/>
  <c r="L1041" i="167"/>
  <c r="D1002" i="167"/>
  <c r="D963" i="167"/>
  <c r="D1048" i="167"/>
  <c r="F1066" i="167"/>
  <c r="J1066" i="167"/>
  <c r="I1092" i="167"/>
  <c r="K1253" i="167"/>
  <c r="J1239" i="167"/>
  <c r="D1000" i="167"/>
  <c r="E1056" i="167"/>
  <c r="I1056" i="167"/>
  <c r="H1091" i="167"/>
  <c r="N1092" i="167"/>
  <c r="J1142" i="167"/>
  <c r="K1157" i="167"/>
  <c r="J1213" i="167"/>
  <c r="D999" i="167"/>
  <c r="G1092" i="167"/>
  <c r="K1092" i="167"/>
  <c r="O1092" i="167"/>
  <c r="K1214" i="167"/>
  <c r="F1091" i="167"/>
  <c r="K1289" i="167"/>
  <c r="J1275" i="167"/>
  <c r="J1138" i="167"/>
  <c r="J1137" i="167" s="1"/>
  <c r="K1232" i="167"/>
  <c r="I1456" i="167"/>
  <c r="I1519" i="167"/>
  <c r="I1506" i="167" s="1"/>
  <c r="I1520" i="167" s="1"/>
  <c r="G1550" i="167"/>
  <c r="G1526" i="167"/>
  <c r="G88" i="167" s="1"/>
  <c r="K1550" i="167"/>
  <c r="K1526" i="167"/>
  <c r="K88" i="167" s="1"/>
  <c r="J1358" i="167"/>
  <c r="I1462" i="167"/>
  <c r="J1469" i="167"/>
  <c r="I1469" i="167" s="1"/>
  <c r="G1520" i="167"/>
  <c r="G76" i="167" s="1"/>
  <c r="K1520" i="167"/>
  <c r="K76" i="167" s="1"/>
  <c r="G1358" i="167"/>
  <c r="K1358" i="167"/>
  <c r="G1589" i="167"/>
  <c r="H1589" i="167"/>
  <c r="I1298" i="167"/>
  <c r="I1589" i="167"/>
  <c r="H1232" i="167" l="1"/>
  <c r="F869" i="167"/>
  <c r="F757" i="167"/>
  <c r="E4" i="167"/>
  <c r="G1230" i="167"/>
  <c r="G63" i="167"/>
  <c r="G68" i="167" s="1"/>
  <c r="I757" i="167"/>
  <c r="H1415" i="167"/>
  <c r="E120" i="167"/>
  <c r="E95" i="167"/>
  <c r="K1175" i="167"/>
  <c r="I39" i="167"/>
  <c r="H4" i="167"/>
  <c r="I63" i="167"/>
  <c r="I68" i="167" s="1"/>
  <c r="I108" i="167" s="1"/>
  <c r="H963" i="167"/>
  <c r="I869" i="167"/>
  <c r="D1041" i="167"/>
  <c r="D1046" i="167" s="1"/>
  <c r="J1178" i="167"/>
  <c r="J63" i="167"/>
  <c r="J68" i="167" s="1"/>
  <c r="K1415" i="167"/>
  <c r="K1458" i="167" s="1"/>
  <c r="K1479" i="167" s="1"/>
  <c r="J39" i="167"/>
  <c r="G1415" i="167"/>
  <c r="G1458" i="167" s="1"/>
  <c r="E122" i="167"/>
  <c r="G55" i="167"/>
  <c r="E775" i="167"/>
  <c r="E776" i="167" s="1"/>
  <c r="I1232" i="167"/>
  <c r="I1217" i="167" s="1"/>
  <c r="D747" i="167"/>
  <c r="I84" i="167"/>
  <c r="E123" i="167"/>
  <c r="H1129" i="167"/>
  <c r="H1138" i="167" s="1"/>
  <c r="I1138" i="167"/>
  <c r="I1120" i="167" s="1"/>
  <c r="I4" i="167"/>
  <c r="D123" i="167"/>
  <c r="F1522" i="167"/>
  <c r="K1255" i="167"/>
  <c r="D55" i="167"/>
  <c r="D120" i="167" s="1"/>
  <c r="D953" i="167"/>
  <c r="L1094" i="167"/>
  <c r="P814" i="167"/>
  <c r="H1458" i="167"/>
  <c r="D766" i="167"/>
  <c r="F84" i="167"/>
  <c r="J84" i="167"/>
  <c r="K63" i="167"/>
  <c r="K68" i="167" s="1"/>
  <c r="K77" i="167" s="1"/>
  <c r="H869" i="167"/>
  <c r="K39" i="167"/>
  <c r="G869" i="167"/>
  <c r="H757" i="167"/>
  <c r="J4" i="167"/>
  <c r="G39" i="167"/>
  <c r="H122" i="167"/>
  <c r="H1230" i="167"/>
  <c r="H1231" i="167" s="1"/>
  <c r="H39" i="167"/>
  <c r="G4" i="167"/>
  <c r="F122" i="167"/>
  <c r="F53" i="167"/>
  <c r="H1522" i="167"/>
  <c r="H1551" i="167" s="1"/>
  <c r="H1578" i="167" s="1"/>
  <c r="H1592" i="167" s="1"/>
  <c r="H1606" i="167" s="1"/>
  <c r="H1611" i="167" s="1"/>
  <c r="F75" i="167"/>
  <c r="F123" i="167"/>
  <c r="K1291" i="167"/>
  <c r="J75" i="167"/>
  <c r="F37" i="167"/>
  <c r="F43" i="167" s="1"/>
  <c r="I59" i="167"/>
  <c r="I57" i="167" s="1"/>
  <c r="I55" i="167" s="1"/>
  <c r="I1458" i="167"/>
  <c r="K75" i="167"/>
  <c r="F77" i="167"/>
  <c r="G84" i="167"/>
  <c r="I1316" i="167"/>
  <c r="I1325" i="167" s="1"/>
  <c r="P758" i="167"/>
  <c r="E76" i="167"/>
  <c r="E75" i="167" s="1"/>
  <c r="K1522" i="167"/>
  <c r="K1551" i="167" s="1"/>
  <c r="G75" i="167"/>
  <c r="K1120" i="167"/>
  <c r="E37" i="167"/>
  <c r="E100" i="167" s="1"/>
  <c r="K869" i="167"/>
  <c r="G963" i="167"/>
  <c r="F108" i="167"/>
  <c r="D30" i="167"/>
  <c r="D37" i="167" s="1"/>
  <c r="K84" i="167"/>
  <c r="K1324" i="167"/>
  <c r="I1186" i="167"/>
  <c r="I1195" i="167" s="1"/>
  <c r="K4" i="167"/>
  <c r="K963" i="167"/>
  <c r="F4" i="167"/>
  <c r="E53" i="167"/>
  <c r="J1324" i="167"/>
  <c r="J1306" i="167"/>
  <c r="J1269" i="167"/>
  <c r="J1262" i="167"/>
  <c r="K1194" i="167"/>
  <c r="K44" i="167"/>
  <c r="K54" i="167"/>
  <c r="H75" i="167"/>
  <c r="M11" i="167"/>
  <c r="M28" i="167" s="1"/>
  <c r="I1212" i="167"/>
  <c r="I1205" i="167"/>
  <c r="J1415" i="167"/>
  <c r="J1458" i="167" s="1"/>
  <c r="J59" i="167"/>
  <c r="J57" i="167" s="1"/>
  <c r="J55" i="167" s="1"/>
  <c r="H84" i="167"/>
  <c r="M10" i="167"/>
  <c r="L11" i="167" s="1"/>
  <c r="L28" i="167" s="1"/>
  <c r="H126" i="167"/>
  <c r="H125" i="167"/>
  <c r="P1042" i="167"/>
  <c r="P1093" i="167" s="1"/>
  <c r="P746" i="167"/>
  <c r="O737" i="167"/>
  <c r="J1167" i="167"/>
  <c r="J1174" i="167"/>
  <c r="G1522" i="167"/>
  <c r="G1551" i="167" s="1"/>
  <c r="G51" i="167" s="1"/>
  <c r="J1522" i="167"/>
  <c r="J1551" i="167" s="1"/>
  <c r="J1573" i="167" s="1"/>
  <c r="J1477" i="167"/>
  <c r="J54" i="167" s="1"/>
  <c r="H68" i="167"/>
  <c r="H108" i="167" s="1"/>
  <c r="N11" i="167"/>
  <c r="N28" i="167" s="1"/>
  <c r="D1522" i="167"/>
  <c r="D76" i="167"/>
  <c r="I76" i="167"/>
  <c r="I75" i="167" s="1"/>
  <c r="I1522" i="167"/>
  <c r="I1551" i="167" s="1"/>
  <c r="K1217" i="167"/>
  <c r="K1231" i="167"/>
  <c r="J1280" i="167"/>
  <c r="J1287" i="167"/>
  <c r="J1155" i="167"/>
  <c r="J1148" i="167"/>
  <c r="K1064" i="167"/>
  <c r="K764" i="167"/>
  <c r="K1065" i="167" s="1"/>
  <c r="J1231" i="167"/>
  <c r="J1217" i="167"/>
  <c r="G1046" i="167"/>
  <c r="N1046" i="167"/>
  <c r="L1064" i="167"/>
  <c r="L764" i="167"/>
  <c r="L1065" i="167" s="1"/>
  <c r="M1094" i="167"/>
  <c r="M1056" i="167"/>
  <c r="E794" i="167"/>
  <c r="E795" i="167" s="1"/>
  <c r="D778" i="167"/>
  <c r="D784" i="167" s="1"/>
  <c r="D794" i="167" s="1"/>
  <c r="K126" i="167"/>
  <c r="K125" i="167"/>
  <c r="J126" i="167"/>
  <c r="J125" i="167"/>
  <c r="K1273" i="167"/>
  <c r="K1288" i="167"/>
  <c r="H1217" i="167"/>
  <c r="I1137" i="167"/>
  <c r="D1094" i="167"/>
  <c r="D1054" i="167"/>
  <c r="D1056" i="167"/>
  <c r="K122" i="167"/>
  <c r="L1092" i="167"/>
  <c r="L1091" i="167"/>
  <c r="L1000" i="167"/>
  <c r="L906" i="167"/>
  <c r="H1293" i="167"/>
  <c r="I1307" i="167"/>
  <c r="G126" i="167"/>
  <c r="G125" i="167"/>
  <c r="I125" i="167"/>
  <c r="I126" i="167"/>
  <c r="K1197" i="167"/>
  <c r="K1213" i="167"/>
  <c r="J1244" i="167"/>
  <c r="J1251" i="167"/>
  <c r="L1046" i="167"/>
  <c r="G1217" i="167"/>
  <c r="G1231" i="167"/>
  <c r="G122" i="167"/>
  <c r="M1064" i="167"/>
  <c r="M764" i="167"/>
  <c r="M1065" i="167" s="1"/>
  <c r="K949" i="167"/>
  <c r="K951" i="167"/>
  <c r="K962" i="167" s="1"/>
  <c r="F1046" i="167"/>
  <c r="I1046" i="167"/>
  <c r="I1477" i="167"/>
  <c r="H1462" i="167"/>
  <c r="K1140" i="167"/>
  <c r="K1156" i="167"/>
  <c r="K1237" i="167"/>
  <c r="K1252" i="167"/>
  <c r="H1046" i="167"/>
  <c r="K1046" i="167"/>
  <c r="K972" i="167"/>
  <c r="K1061" i="167"/>
  <c r="E106" i="167" l="1"/>
  <c r="E47" i="167" s="1"/>
  <c r="J77" i="167"/>
  <c r="J85" i="167" s="1"/>
  <c r="J107" i="167" s="1"/>
  <c r="J108" i="167"/>
  <c r="G77" i="167"/>
  <c r="G85" i="167" s="1"/>
  <c r="G107" i="167" s="1"/>
  <c r="G108" i="167"/>
  <c r="E43" i="167"/>
  <c r="H51" i="167"/>
  <c r="G1573" i="167"/>
  <c r="G41" i="167" s="1"/>
  <c r="G109" i="167" s="1"/>
  <c r="H1311" i="167"/>
  <c r="E77" i="167"/>
  <c r="E85" i="167" s="1"/>
  <c r="E107" i="167" s="1"/>
  <c r="E104" i="167" s="1"/>
  <c r="I122" i="167"/>
  <c r="J1479" i="167"/>
  <c r="H1566" i="167"/>
  <c r="H1571" i="167" s="1"/>
  <c r="H1573" i="167"/>
  <c r="H1524" i="167" s="1"/>
  <c r="J1566" i="167"/>
  <c r="J1571" i="167" s="1"/>
  <c r="D795" i="167"/>
  <c r="G1122" i="167"/>
  <c r="G1136" i="167" s="1"/>
  <c r="I1231" i="167"/>
  <c r="F85" i="167"/>
  <c r="F107" i="167" s="1"/>
  <c r="J1578" i="167"/>
  <c r="J1592" i="167" s="1"/>
  <c r="J1606" i="167" s="1"/>
  <c r="J1611" i="167" s="1"/>
  <c r="J30" i="167" s="1"/>
  <c r="J37" i="167" s="1"/>
  <c r="J100" i="167" s="1"/>
  <c r="K108" i="167"/>
  <c r="H1180" i="167"/>
  <c r="H1186" i="167" s="1"/>
  <c r="D53" i="167"/>
  <c r="D106" i="167" s="1"/>
  <c r="D47" i="167" s="1"/>
  <c r="J51" i="167"/>
  <c r="H77" i="167"/>
  <c r="H85" i="167" s="1"/>
  <c r="H107" i="167" s="1"/>
  <c r="L10" i="167"/>
  <c r="L952" i="167" s="1"/>
  <c r="K85" i="167"/>
  <c r="K107" i="167" s="1"/>
  <c r="K105" i="167" s="1"/>
  <c r="F100" i="167"/>
  <c r="K1236" i="167"/>
  <c r="G1578" i="167"/>
  <c r="G1592" i="167" s="1"/>
  <c r="G1606" i="167" s="1"/>
  <c r="G1611" i="167" s="1"/>
  <c r="G30" i="167" s="1"/>
  <c r="G37" i="167" s="1"/>
  <c r="D43" i="167"/>
  <c r="D100" i="167"/>
  <c r="G1566" i="167"/>
  <c r="G1571" i="167" s="1"/>
  <c r="J1271" i="167"/>
  <c r="I1257" i="167"/>
  <c r="J122" i="167"/>
  <c r="I77" i="167"/>
  <c r="I85" i="167" s="1"/>
  <c r="I107" i="167" s="1"/>
  <c r="J44" i="167"/>
  <c r="O1036" i="167"/>
  <c r="O1044" i="167" s="1"/>
  <c r="O743" i="167"/>
  <c r="H1199" i="167"/>
  <c r="I1214" i="167"/>
  <c r="K53" i="167"/>
  <c r="K123" i="167"/>
  <c r="I1161" i="167"/>
  <c r="J1176" i="167"/>
  <c r="M858" i="167"/>
  <c r="K1119" i="167"/>
  <c r="D77" i="167"/>
  <c r="D85" i="167" s="1"/>
  <c r="D107" i="167" s="1"/>
  <c r="D75" i="167"/>
  <c r="K1067" i="167"/>
  <c r="K1073" i="167" s="1"/>
  <c r="K1074" i="167" s="1"/>
  <c r="J966" i="167"/>
  <c r="H1323" i="167"/>
  <c r="H1316" i="167"/>
  <c r="I1324" i="167"/>
  <c r="I1309" i="167"/>
  <c r="J1253" i="167"/>
  <c r="I1239" i="167"/>
  <c r="I1306" i="167"/>
  <c r="I1291" i="167"/>
  <c r="H1641" i="167"/>
  <c r="H1642" i="167" s="1"/>
  <c r="G1640" i="167" s="1"/>
  <c r="H30" i="167"/>
  <c r="H37" i="167" s="1"/>
  <c r="G1462" i="167"/>
  <c r="G1129" i="167"/>
  <c r="G1138" i="167" s="1"/>
  <c r="H1305" i="167"/>
  <c r="H1298" i="167"/>
  <c r="I1194" i="167"/>
  <c r="I1178" i="167"/>
  <c r="K10" i="167"/>
  <c r="K952" i="167" s="1"/>
  <c r="I54" i="167"/>
  <c r="I44" i="167"/>
  <c r="J41" i="167"/>
  <c r="J109" i="167" s="1"/>
  <c r="J136" i="167"/>
  <c r="J1524" i="167"/>
  <c r="H1137" i="167"/>
  <c r="H1120" i="167"/>
  <c r="I1479" i="167"/>
  <c r="J53" i="167"/>
  <c r="J123" i="167"/>
  <c r="I1142" i="167"/>
  <c r="J1157" i="167"/>
  <c r="I1573" i="167"/>
  <c r="I1566" i="167"/>
  <c r="I1571" i="167" s="1"/>
  <c r="I1578" i="167"/>
  <c r="I1592" i="167" s="1"/>
  <c r="I1606" i="167" s="1"/>
  <c r="I1611" i="167" s="1"/>
  <c r="I51" i="167"/>
  <c r="K964" i="167"/>
  <c r="K1001" i="167"/>
  <c r="J943" i="167"/>
  <c r="K1566" i="167"/>
  <c r="K1571" i="167" s="1"/>
  <c r="K1578" i="167"/>
  <c r="K1592" i="167" s="1"/>
  <c r="K1606" i="167" s="1"/>
  <c r="K1611" i="167" s="1"/>
  <c r="K30" i="167" s="1"/>
  <c r="K37" i="167" s="1"/>
  <c r="K1573" i="167"/>
  <c r="K51" i="167"/>
  <c r="J1289" i="167"/>
  <c r="I1275" i="167"/>
  <c r="G1470" i="167" l="1"/>
  <c r="G136" i="167"/>
  <c r="G1524" i="167"/>
  <c r="G124" i="167" s="1"/>
  <c r="G1641" i="167"/>
  <c r="E105" i="167"/>
  <c r="J43" i="167"/>
  <c r="H1193" i="167"/>
  <c r="H136" i="167"/>
  <c r="H41" i="167"/>
  <c r="H109" i="167" s="1"/>
  <c r="H1470" i="167"/>
  <c r="H1469" i="167" s="1"/>
  <c r="G1469" i="167" s="1"/>
  <c r="G1477" i="167" s="1"/>
  <c r="K11" i="167"/>
  <c r="K28" i="167" s="1"/>
  <c r="L858" i="167"/>
  <c r="K1335" i="167"/>
  <c r="K1360" i="167" s="1"/>
  <c r="K121" i="167" s="1"/>
  <c r="K104" i="167" s="1"/>
  <c r="I1269" i="167"/>
  <c r="I1262" i="167"/>
  <c r="G1642" i="167"/>
  <c r="J1255" i="167"/>
  <c r="J1270" i="167"/>
  <c r="J1175" i="167"/>
  <c r="J1159" i="167"/>
  <c r="I1197" i="167"/>
  <c r="I1213" i="167"/>
  <c r="D105" i="167"/>
  <c r="D104" i="167"/>
  <c r="I1167" i="167"/>
  <c r="I1174" i="167"/>
  <c r="H1212" i="167"/>
  <c r="H1205" i="167"/>
  <c r="N745" i="167"/>
  <c r="N756" i="167" s="1"/>
  <c r="O746" i="167"/>
  <c r="N737" i="167"/>
  <c r="O758" i="167"/>
  <c r="O1042" i="167"/>
  <c r="O1093" i="167" s="1"/>
  <c r="O814" i="167"/>
  <c r="H1497" i="167"/>
  <c r="H124" i="167"/>
  <c r="H91" i="167"/>
  <c r="H50" i="167"/>
  <c r="H49" i="167" s="1"/>
  <c r="K41" i="167"/>
  <c r="K109" i="167" s="1"/>
  <c r="K136" i="167"/>
  <c r="K1524" i="167"/>
  <c r="J1156" i="167"/>
  <c r="J1140" i="167"/>
  <c r="J1497" i="167"/>
  <c r="J124" i="167"/>
  <c r="J91" i="167"/>
  <c r="J50" i="167"/>
  <c r="J49" i="167" s="1"/>
  <c r="J106" i="167" s="1"/>
  <c r="J47" i="167" s="1"/>
  <c r="I53" i="167"/>
  <c r="I123" i="167"/>
  <c r="H1307" i="167"/>
  <c r="G1293" i="167"/>
  <c r="H1195" i="167"/>
  <c r="G1180" i="167"/>
  <c r="I1244" i="167"/>
  <c r="I1251" i="167"/>
  <c r="H1325" i="167"/>
  <c r="G1311" i="167"/>
  <c r="I1280" i="167"/>
  <c r="I1287" i="167"/>
  <c r="K100" i="167"/>
  <c r="K43" i="167"/>
  <c r="I1641" i="167"/>
  <c r="I30" i="167"/>
  <c r="I37" i="167" s="1"/>
  <c r="I1155" i="167"/>
  <c r="I1148" i="167"/>
  <c r="H1477" i="167"/>
  <c r="J1237" i="167"/>
  <c r="J1252" i="167"/>
  <c r="G1497" i="167"/>
  <c r="J1273" i="167"/>
  <c r="J1288" i="167"/>
  <c r="K858" i="167"/>
  <c r="J10" i="167"/>
  <c r="J11" i="167"/>
  <c r="J28" i="167" s="1"/>
  <c r="G100" i="167"/>
  <c r="G43" i="167"/>
  <c r="H100" i="167"/>
  <c r="H43" i="167"/>
  <c r="J972" i="167"/>
  <c r="J1061" i="167"/>
  <c r="J949" i="167"/>
  <c r="J951" i="167"/>
  <c r="J962" i="167" s="1"/>
  <c r="I41" i="167"/>
  <c r="I109" i="167" s="1"/>
  <c r="I136" i="167"/>
  <c r="I1524" i="167"/>
  <c r="G1137" i="167"/>
  <c r="G1120" i="167"/>
  <c r="G91" i="167" l="1"/>
  <c r="G50" i="167"/>
  <c r="G49" i="167" s="1"/>
  <c r="H1257" i="167"/>
  <c r="I1271" i="167"/>
  <c r="H1161" i="167"/>
  <c r="I1176" i="167"/>
  <c r="H1214" i="167"/>
  <c r="G1199" i="167"/>
  <c r="G1205" i="167" s="1"/>
  <c r="G1214" i="167" s="1"/>
  <c r="G1197" i="167" s="1"/>
  <c r="J1119" i="167"/>
  <c r="N1036" i="167"/>
  <c r="N1044" i="167" s="1"/>
  <c r="N1055" i="167" s="1"/>
  <c r="N743" i="167"/>
  <c r="J1067" i="167"/>
  <c r="J1073" i="167" s="1"/>
  <c r="J1074" i="167" s="1"/>
  <c r="I966" i="167"/>
  <c r="J858" i="167"/>
  <c r="I11" i="167"/>
  <c r="I28" i="167" s="1"/>
  <c r="I10" i="167"/>
  <c r="H54" i="167"/>
  <c r="H44" i="167"/>
  <c r="H1479" i="167"/>
  <c r="H1324" i="167"/>
  <c r="H1309" i="167"/>
  <c r="H1194" i="167"/>
  <c r="H1178" i="167"/>
  <c r="J964" i="167"/>
  <c r="J952" i="167"/>
  <c r="I943" i="167"/>
  <c r="J1001" i="167"/>
  <c r="G1495" i="167"/>
  <c r="G98" i="167" s="1"/>
  <c r="G95" i="167"/>
  <c r="G18" i="167" s="1"/>
  <c r="G120" i="167"/>
  <c r="I43" i="167"/>
  <c r="I100" i="167"/>
  <c r="G54" i="167"/>
  <c r="G44" i="167"/>
  <c r="G1479" i="167"/>
  <c r="J1495" i="167"/>
  <c r="J98" i="167" s="1"/>
  <c r="J95" i="167"/>
  <c r="J18" i="167" s="1"/>
  <c r="J120" i="167"/>
  <c r="K1497" i="167"/>
  <c r="K124" i="167"/>
  <c r="K91" i="167"/>
  <c r="K50" i="167"/>
  <c r="K49" i="167" s="1"/>
  <c r="I50" i="167"/>
  <c r="I49" i="167" s="1"/>
  <c r="I106" i="167" s="1"/>
  <c r="I47" i="167" s="1"/>
  <c r="I1497" i="167"/>
  <c r="I91" i="167"/>
  <c r="I124" i="167"/>
  <c r="I1289" i="167"/>
  <c r="H1275" i="167"/>
  <c r="I1253" i="167"/>
  <c r="H1239" i="167"/>
  <c r="G1305" i="167"/>
  <c r="G1298" i="167"/>
  <c r="G1307" i="167" s="1"/>
  <c r="J1236" i="167"/>
  <c r="I1157" i="167"/>
  <c r="H1142" i="167"/>
  <c r="G1316" i="167"/>
  <c r="G1325" i="167" s="1"/>
  <c r="G1323" i="167"/>
  <c r="G1186" i="167"/>
  <c r="G1195" i="167" s="1"/>
  <c r="G1193" i="167"/>
  <c r="H1306" i="167"/>
  <c r="H1291" i="167"/>
  <c r="H1495" i="167"/>
  <c r="H98" i="167" s="1"/>
  <c r="H95" i="167"/>
  <c r="H18" i="167" s="1"/>
  <c r="H120" i="167"/>
  <c r="J1335" i="167" l="1"/>
  <c r="I1270" i="167"/>
  <c r="I1255" i="167"/>
  <c r="H1269" i="167"/>
  <c r="H1262" i="167"/>
  <c r="N1042" i="167"/>
  <c r="M745" i="167"/>
  <c r="M756" i="167" s="1"/>
  <c r="M737" i="167"/>
  <c r="N746" i="167"/>
  <c r="N814" i="167"/>
  <c r="N758" i="167"/>
  <c r="H1213" i="167"/>
  <c r="H1197" i="167"/>
  <c r="G1212" i="167"/>
  <c r="G1213" i="167" s="1"/>
  <c r="I1175" i="167"/>
  <c r="I1159" i="167"/>
  <c r="H1167" i="167"/>
  <c r="H1174" i="167"/>
  <c r="J1360" i="167"/>
  <c r="J113" i="167"/>
  <c r="G1178" i="167"/>
  <c r="G1194" i="167"/>
  <c r="I1156" i="167"/>
  <c r="I1140" i="167"/>
  <c r="I1119" i="167" s="1"/>
  <c r="H1251" i="167"/>
  <c r="H1244" i="167"/>
  <c r="K1495" i="167"/>
  <c r="K98" i="167" s="1"/>
  <c r="K95" i="167"/>
  <c r="K18" i="167" s="1"/>
  <c r="K120" i="167"/>
  <c r="I949" i="167"/>
  <c r="I951" i="167"/>
  <c r="I962" i="167" s="1"/>
  <c r="I1237" i="167"/>
  <c r="I1252" i="167"/>
  <c r="I1495" i="167"/>
  <c r="I98" i="167" s="1"/>
  <c r="I120" i="167"/>
  <c r="I95" i="167"/>
  <c r="I18" i="167" s="1"/>
  <c r="I1061" i="167"/>
  <c r="I972" i="167"/>
  <c r="G1306" i="167"/>
  <c r="G1291" i="167"/>
  <c r="H1287" i="167"/>
  <c r="H1280" i="167"/>
  <c r="G53" i="167"/>
  <c r="G123" i="167"/>
  <c r="H10" i="167"/>
  <c r="I858" i="167"/>
  <c r="H11" i="167"/>
  <c r="H28" i="167" s="1"/>
  <c r="G1309" i="167"/>
  <c r="G1324" i="167"/>
  <c r="H1155" i="167"/>
  <c r="H1148" i="167"/>
  <c r="I1273" i="167"/>
  <c r="I1288" i="167"/>
  <c r="H53" i="167"/>
  <c r="H106" i="167" s="1"/>
  <c r="H47" i="167" s="1"/>
  <c r="H123" i="167"/>
  <c r="H1271" i="167" l="1"/>
  <c r="G1257" i="167"/>
  <c r="G1161" i="167"/>
  <c r="H1176" i="167"/>
  <c r="M1036" i="167"/>
  <c r="M1044" i="167" s="1"/>
  <c r="M1055" i="167" s="1"/>
  <c r="M743" i="167"/>
  <c r="N1045" i="167"/>
  <c r="N1093" i="167"/>
  <c r="N1057" i="167"/>
  <c r="H858" i="167"/>
  <c r="G11" i="167"/>
  <c r="G28" i="167" s="1"/>
  <c r="G10" i="167"/>
  <c r="H1253" i="167"/>
  <c r="G1239" i="167"/>
  <c r="H1289" i="167"/>
  <c r="G1275" i="167"/>
  <c r="I1067" i="167"/>
  <c r="I1073" i="167" s="1"/>
  <c r="I1074" i="167" s="1"/>
  <c r="H966" i="167"/>
  <c r="I1236" i="167"/>
  <c r="I1335" i="167" s="1"/>
  <c r="I1001" i="167"/>
  <c r="I964" i="167"/>
  <c r="I952" i="167"/>
  <c r="H943" i="167"/>
  <c r="H1157" i="167"/>
  <c r="G1142" i="167"/>
  <c r="F106" i="167"/>
  <c r="F47" i="167" s="1"/>
  <c r="G106" i="167"/>
  <c r="G47" i="167" s="1"/>
  <c r="J121" i="167"/>
  <c r="J112" i="167"/>
  <c r="G1269" i="167" l="1"/>
  <c r="G1262" i="167"/>
  <c r="G1271" i="167" s="1"/>
  <c r="H1255" i="167"/>
  <c r="H1270" i="167"/>
  <c r="M1042" i="167"/>
  <c r="M758" i="167"/>
  <c r="L737" i="167"/>
  <c r="L745" i="167"/>
  <c r="L756" i="167" s="1"/>
  <c r="M814" i="167"/>
  <c r="M746" i="167"/>
  <c r="H1159" i="167"/>
  <c r="H1175" i="167"/>
  <c r="G1167" i="167"/>
  <c r="G1176" i="167" s="1"/>
  <c r="G1174" i="167"/>
  <c r="I1360" i="167"/>
  <c r="I113" i="167"/>
  <c r="H1156" i="167"/>
  <c r="H1140" i="167"/>
  <c r="H1252" i="167"/>
  <c r="H1237" i="167"/>
  <c r="H949" i="167"/>
  <c r="H951" i="167"/>
  <c r="H962" i="167" s="1"/>
  <c r="G1287" i="167"/>
  <c r="G1280" i="167"/>
  <c r="G1289" i="167" s="1"/>
  <c r="G858" i="167"/>
  <c r="F10" i="167"/>
  <c r="F11" i="167"/>
  <c r="F28" i="167" s="1"/>
  <c r="J104" i="167"/>
  <c r="J105" i="167"/>
  <c r="H1288" i="167"/>
  <c r="H1273" i="167"/>
  <c r="G1155" i="167"/>
  <c r="G1148" i="167"/>
  <c r="G1157" i="167" s="1"/>
  <c r="H1061" i="167"/>
  <c r="H972" i="167"/>
  <c r="G1251" i="167"/>
  <c r="G1244" i="167"/>
  <c r="G1253" i="167" s="1"/>
  <c r="H1119" i="167" l="1"/>
  <c r="G1255" i="167"/>
  <c r="G1270" i="167"/>
  <c r="L1036" i="167"/>
  <c r="L1044" i="167" s="1"/>
  <c r="L1055" i="167" s="1"/>
  <c r="L743" i="167"/>
  <c r="G1159" i="167"/>
  <c r="G1175" i="167"/>
  <c r="M1045" i="167"/>
  <c r="M1093" i="167"/>
  <c r="M1057" i="167"/>
  <c r="H1067" i="167"/>
  <c r="H1073" i="167" s="1"/>
  <c r="H1074" i="167" s="1"/>
  <c r="G966" i="167"/>
  <c r="G1273" i="167"/>
  <c r="G1288" i="167"/>
  <c r="H964" i="167"/>
  <c r="H1001" i="167"/>
  <c r="H952" i="167"/>
  <c r="G943" i="167"/>
  <c r="G1237" i="167"/>
  <c r="G1252" i="167"/>
  <c r="H1236" i="167"/>
  <c r="H1335" i="167" s="1"/>
  <c r="G1140" i="167"/>
  <c r="G1119" i="167" s="1"/>
  <c r="G1156" i="167"/>
  <c r="F858" i="167"/>
  <c r="E11" i="167"/>
  <c r="E28" i="167" s="1"/>
  <c r="E10" i="167"/>
  <c r="I112" i="167"/>
  <c r="I121" i="167"/>
  <c r="G1236" i="167" l="1"/>
  <c r="G1335" i="167" s="1"/>
  <c r="K737" i="167"/>
  <c r="L1042" i="167"/>
  <c r="L746" i="167"/>
  <c r="K745" i="167"/>
  <c r="K756" i="167" s="1"/>
  <c r="L758" i="167"/>
  <c r="L814" i="167"/>
  <c r="H1360" i="167"/>
  <c r="H113" i="167"/>
  <c r="I104" i="167"/>
  <c r="I105" i="167"/>
  <c r="G972" i="167"/>
  <c r="G1061" i="167"/>
  <c r="E858" i="167"/>
  <c r="D10" i="167"/>
  <c r="D858" i="167" s="1"/>
  <c r="D11" i="167"/>
  <c r="D28" i="167" s="1"/>
  <c r="G949" i="167"/>
  <c r="G951" i="167"/>
  <c r="G962" i="167" s="1"/>
  <c r="G1360" i="167" l="1"/>
  <c r="G121" i="167" s="1"/>
  <c r="G113" i="167"/>
  <c r="F113" i="167"/>
  <c r="L1045" i="167"/>
  <c r="L1057" i="167"/>
  <c r="L1093" i="167"/>
  <c r="K1036" i="167"/>
  <c r="K1044" i="167" s="1"/>
  <c r="K1055" i="167" s="1"/>
  <c r="K743" i="167"/>
  <c r="G964" i="167"/>
  <c r="G1001" i="167"/>
  <c r="G952" i="167"/>
  <c r="F943" i="167"/>
  <c r="G1067" i="167"/>
  <c r="G1073" i="167" s="1"/>
  <c r="G1074" i="167" s="1"/>
  <c r="F966" i="167"/>
  <c r="H121" i="167"/>
  <c r="H112" i="167"/>
  <c r="F112" i="167" l="1"/>
  <c r="F104" i="167" s="1"/>
  <c r="G112" i="167"/>
  <c r="G105" i="167" s="1"/>
  <c r="K814" i="167"/>
  <c r="J745" i="167"/>
  <c r="J756" i="167" s="1"/>
  <c r="K746" i="167"/>
  <c r="K758" i="167"/>
  <c r="K1042" i="167"/>
  <c r="J737" i="167"/>
  <c r="F972" i="167"/>
  <c r="F1061" i="167"/>
  <c r="H105" i="167"/>
  <c r="H104" i="167"/>
  <c r="F949" i="167"/>
  <c r="F951" i="167"/>
  <c r="F962" i="167" s="1"/>
  <c r="F105" i="167" l="1"/>
  <c r="G104" i="167"/>
  <c r="J1036" i="167"/>
  <c r="J1044" i="167" s="1"/>
  <c r="J1055" i="167" s="1"/>
  <c r="J743" i="167"/>
  <c r="K1093" i="167"/>
  <c r="K1045" i="167"/>
  <c r="K1057" i="167"/>
  <c r="F964" i="167"/>
  <c r="F952" i="167"/>
  <c r="E943" i="167"/>
  <c r="F1001" i="167"/>
  <c r="E966" i="167"/>
  <c r="F1067" i="167"/>
  <c r="F1073" i="167" s="1"/>
  <c r="F1074" i="167" s="1"/>
  <c r="J758" i="167" l="1"/>
  <c r="I737" i="167"/>
  <c r="J1042" i="167"/>
  <c r="I745" i="167"/>
  <c r="I756" i="167" s="1"/>
  <c r="J746" i="167"/>
  <c r="J814" i="167"/>
  <c r="E951" i="167"/>
  <c r="E962" i="167" s="1"/>
  <c r="E949" i="167"/>
  <c r="E1061" i="167"/>
  <c r="E972" i="167"/>
  <c r="J1045" i="167" l="1"/>
  <c r="J1057" i="167"/>
  <c r="J1093" i="167"/>
  <c r="I743" i="167"/>
  <c r="I1036" i="167"/>
  <c r="I1044" i="167" s="1"/>
  <c r="I1055" i="167" s="1"/>
  <c r="E1067" i="167"/>
  <c r="E1073" i="167" s="1"/>
  <c r="E1074" i="167" s="1"/>
  <c r="E981" i="167"/>
  <c r="E982" i="167" s="1"/>
  <c r="D966" i="167"/>
  <c r="E1001" i="167"/>
  <c r="E952" i="167"/>
  <c r="D943" i="167"/>
  <c r="E964" i="167"/>
  <c r="H737" i="167" l="1"/>
  <c r="H745" i="167"/>
  <c r="H756" i="167" s="1"/>
  <c r="I1042" i="167"/>
  <c r="I746" i="167"/>
  <c r="I814" i="167"/>
  <c r="I758" i="167"/>
  <c r="D949" i="167"/>
  <c r="D951" i="167"/>
  <c r="D962" i="167" s="1"/>
  <c r="D1061" i="167"/>
  <c r="D972" i="167"/>
  <c r="D1067" i="167" s="1"/>
  <c r="I1093" i="167" l="1"/>
  <c r="I1045" i="167"/>
  <c r="I1057" i="167"/>
  <c r="H743" i="167"/>
  <c r="H1036" i="167"/>
  <c r="H1044" i="167" s="1"/>
  <c r="H1055" i="167" s="1"/>
  <c r="D952" i="167"/>
  <c r="D964" i="167"/>
  <c r="D1001" i="167"/>
  <c r="G737" i="167" l="1"/>
  <c r="H814" i="167"/>
  <c r="H746" i="167"/>
  <c r="G745" i="167"/>
  <c r="G756" i="167" s="1"/>
  <c r="H1042" i="167"/>
  <c r="H758" i="167"/>
  <c r="H1045" i="167" l="1"/>
  <c r="H1057" i="167"/>
  <c r="H1093" i="167"/>
  <c r="G743" i="167"/>
  <c r="G1036" i="167"/>
  <c r="G1044" i="167" s="1"/>
  <c r="G1055" i="167" s="1"/>
  <c r="F737" i="167" l="1"/>
  <c r="G814" i="167"/>
  <c r="G746" i="167"/>
  <c r="F745" i="167"/>
  <c r="F756" i="167" s="1"/>
  <c r="G1042" i="167"/>
  <c r="G758" i="167"/>
  <c r="G1045" i="167" l="1"/>
  <c r="G1057" i="167"/>
  <c r="G1093" i="167"/>
  <c r="F743" i="167"/>
  <c r="F1036" i="167"/>
  <c r="F1044" i="167" s="1"/>
  <c r="F1055" i="167" s="1"/>
  <c r="F758" i="167" l="1"/>
  <c r="E737" i="167"/>
  <c r="E745" i="167"/>
  <c r="E756" i="167" s="1"/>
  <c r="F1042" i="167"/>
  <c r="F814" i="167"/>
  <c r="F746" i="167"/>
  <c r="F1045" i="167" l="1"/>
  <c r="F1057" i="167"/>
  <c r="F1093" i="167"/>
  <c r="E743" i="167"/>
  <c r="E1036" i="167"/>
  <c r="E1044" i="167" s="1"/>
  <c r="E1055" i="167" s="1"/>
  <c r="E746" i="167" l="1"/>
  <c r="E758" i="167"/>
  <c r="D745" i="167"/>
  <c r="D756" i="167" s="1"/>
  <c r="E814" i="167"/>
  <c r="D737" i="167"/>
  <c r="E1042" i="167"/>
  <c r="E1057" i="167" l="1"/>
  <c r="E1093" i="167"/>
  <c r="E1045" i="167"/>
  <c r="D1036" i="167"/>
  <c r="D1044" i="167" s="1"/>
  <c r="D1055" i="167" s="1"/>
  <c r="D743" i="167"/>
  <c r="D814" i="167" l="1"/>
  <c r="D1042" i="167"/>
  <c r="D746" i="167"/>
  <c r="D758" i="167"/>
  <c r="D1045" i="167" l="1"/>
  <c r="D1093" i="167"/>
  <c r="D1057" i="167"/>
  <c r="D28" i="168" l="1"/>
  <c r="D24" i="168"/>
  <c r="D25" i="168" l="1"/>
  <c r="D33" i="168"/>
  <c r="O19" i="168" l="1"/>
  <c r="T24" i="168"/>
  <c r="O22" i="168" l="1"/>
  <c r="T25" i="168"/>
  <c r="O24" i="168" l="1"/>
  <c r="O25" i="16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49" authorId="0" shapeId="0" xr:uid="{00000000-0006-0000-0200-000001000000}">
      <text>
        <r>
          <rPr>
            <sz val="9"/>
            <color indexed="81"/>
            <rFont val="Tahoma"/>
            <family val="2"/>
            <charset val="204"/>
          </rPr>
          <t>Adjusted for the accident on Voronezh DC, costs related to the management structure and consulting fees</t>
        </r>
      </text>
    </comment>
    <comment ref="U49" authorId="0" shapeId="0" xr:uid="{00000000-0006-0000-0200-000002000000}">
      <text>
        <r>
          <rPr>
            <sz val="9"/>
            <color indexed="81"/>
            <rFont val="Tahoma"/>
            <family val="2"/>
            <charset val="204"/>
          </rPr>
          <t>Adjusted for the accident on Voronezh DC, costs related to the management structure and consulting fees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76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net of VAT</t>
        </r>
      </text>
    </comment>
  </commentList>
</comments>
</file>

<file path=xl/sharedStrings.xml><?xml version="1.0" encoding="utf-8"?>
<sst xmlns="http://schemas.openxmlformats.org/spreadsheetml/2006/main" count="2553" uniqueCount="1252">
  <si>
    <t>ASSETS</t>
  </si>
  <si>
    <t>Property, plant and equipment</t>
  </si>
  <si>
    <t>Total non-current assets</t>
  </si>
  <si>
    <t>Inventories</t>
  </si>
  <si>
    <t>Total current assets</t>
  </si>
  <si>
    <t xml:space="preserve">TOTAL ASSETS </t>
  </si>
  <si>
    <t>Non-current assets</t>
  </si>
  <si>
    <t xml:space="preserve">EQUITY AND LIABILITIES </t>
  </si>
  <si>
    <t>Share capital</t>
  </si>
  <si>
    <t>Share premium</t>
  </si>
  <si>
    <t>Retained earnings</t>
  </si>
  <si>
    <t>Total non-current liabilities</t>
  </si>
  <si>
    <t>Accrued expenses</t>
  </si>
  <si>
    <t>Total current liabilities</t>
  </si>
  <si>
    <t>TOTAL LIABILITIES</t>
  </si>
  <si>
    <t>Non-current liabilities</t>
  </si>
  <si>
    <t>Current liabilities</t>
  </si>
  <si>
    <t>TOTAL EQUITY</t>
  </si>
  <si>
    <t>LIABILITIES</t>
  </si>
  <si>
    <t>-</t>
  </si>
  <si>
    <t>Cost of sales</t>
  </si>
  <si>
    <t>GROSS PROFIT</t>
  </si>
  <si>
    <t>REVENUE</t>
  </si>
  <si>
    <t>Total</t>
  </si>
  <si>
    <t>Adjustments for:</t>
  </si>
  <si>
    <t>Cash generated from operations</t>
  </si>
  <si>
    <t>Interest paid</t>
  </si>
  <si>
    <t>Income tax paid</t>
  </si>
  <si>
    <t>Interest received</t>
  </si>
  <si>
    <t>Net cash generated from investing activities</t>
  </si>
  <si>
    <t>CASH FLOWS FROM OPERATING ACTIVITIES</t>
  </si>
  <si>
    <t>Net cash (used in)/generated from operating activities</t>
  </si>
  <si>
    <t>CASH FLOWS FROM INVESTING ACTIVITIES</t>
  </si>
  <si>
    <t>CASH FLOWS FROM FINANCING ACTIVITIES</t>
  </si>
  <si>
    <t>EBITDA</t>
  </si>
  <si>
    <t>Land</t>
  </si>
  <si>
    <t>Other</t>
  </si>
  <si>
    <t>Gross profit margin</t>
  </si>
  <si>
    <t>EBITDA margin</t>
  </si>
  <si>
    <t>&gt;&gt;  Corporate Site</t>
  </si>
  <si>
    <t>&gt;&gt;  Ask an IR Specialist</t>
  </si>
  <si>
    <t>&gt;&gt;  Content</t>
  </si>
  <si>
    <t xml:space="preserve">&gt;&gt;  Debt </t>
  </si>
  <si>
    <t>Net debt</t>
  </si>
  <si>
    <t>Trade and other payables</t>
  </si>
  <si>
    <t>Depreciation</t>
  </si>
  <si>
    <t>Other expenses</t>
  </si>
  <si>
    <t>Other income</t>
  </si>
  <si>
    <t xml:space="preserve"> &gt;&gt; Investment Analysts</t>
  </si>
  <si>
    <t>Cash and cash equivalents</t>
  </si>
  <si>
    <t>Income tax expense</t>
  </si>
  <si>
    <t>Wholesale</t>
  </si>
  <si>
    <t>Intangible assets</t>
  </si>
  <si>
    <t>Additions</t>
  </si>
  <si>
    <t xml:space="preserve">Disposals </t>
  </si>
  <si>
    <t>&gt;&gt;  IR Calendar</t>
  </si>
  <si>
    <t>Prepaid expenses</t>
  </si>
  <si>
    <t>Treasury shares</t>
  </si>
  <si>
    <t>Income tax payable</t>
  </si>
  <si>
    <t>Short-term obligations under finance leases</t>
  </si>
  <si>
    <t>Goodwill</t>
  </si>
  <si>
    <t>Land lease rights</t>
  </si>
  <si>
    <t>Dividends payable</t>
  </si>
  <si>
    <t>Selling expenses</t>
  </si>
  <si>
    <t>General and administrative expenses</t>
  </si>
  <si>
    <t>Investment income</t>
  </si>
  <si>
    <t>Finance costs</t>
  </si>
  <si>
    <t>Amortization</t>
  </si>
  <si>
    <t>Operating cash flows before working capital changes</t>
  </si>
  <si>
    <t>Purchase of intangible assets</t>
  </si>
  <si>
    <t>Purchase of land lease rights</t>
  </si>
  <si>
    <t>Loans provided</t>
  </si>
  <si>
    <t>Loans repaid</t>
  </si>
  <si>
    <t>Proceeds from sale of property, plant and equipment</t>
  </si>
  <si>
    <t>Proceeds from loans and borrowings</t>
  </si>
  <si>
    <t>Repayment of  loans and borrowings</t>
  </si>
  <si>
    <t>Dividends paid</t>
  </si>
  <si>
    <t>Proceeds from issuance of ordinary shares</t>
  </si>
  <si>
    <t>Loss (gain) from disposal of property, plant and equipment</t>
  </si>
  <si>
    <t>Payments of bond issue costs</t>
  </si>
  <si>
    <t>Purchase of property, plant and equipment</t>
  </si>
  <si>
    <t>Equity</t>
  </si>
  <si>
    <t>Cost of goods sold</t>
  </si>
  <si>
    <t>Advertising</t>
  </si>
  <si>
    <t>Payroll</t>
  </si>
  <si>
    <t>Payroll related taxes</t>
  </si>
  <si>
    <t xml:space="preserve">Taxes, other than income tax </t>
  </si>
  <si>
    <t>Repair and maintenance</t>
  </si>
  <si>
    <t>Bank services</t>
  </si>
  <si>
    <t>Provision for unused vacation</t>
  </si>
  <si>
    <t>Security</t>
  </si>
  <si>
    <t>Penalties</t>
  </si>
  <si>
    <t xml:space="preserve">Buildings </t>
  </si>
  <si>
    <t>Transfers</t>
  </si>
  <si>
    <t>Charge for the year</t>
  </si>
  <si>
    <t>Bonds</t>
  </si>
  <si>
    <t>Trade and other receivables</t>
  </si>
  <si>
    <t>Licenses</t>
  </si>
  <si>
    <t>Software</t>
  </si>
  <si>
    <t>PROFIT BEFORE INCOME TAX</t>
  </si>
  <si>
    <t>n/a</t>
  </si>
  <si>
    <t>Volga Federal District</t>
  </si>
  <si>
    <t>Siberian Federal District</t>
  </si>
  <si>
    <t>Central Federal District</t>
  </si>
  <si>
    <t>Southern Federal District</t>
  </si>
  <si>
    <t>Number of distribution centers</t>
  </si>
  <si>
    <t>Date</t>
  </si>
  <si>
    <t xml:space="preserve">    Maturity date</t>
  </si>
  <si>
    <t>Geographical Coverage</t>
  </si>
  <si>
    <t>Number of trucks</t>
  </si>
  <si>
    <t>Logistics Coverage</t>
  </si>
  <si>
    <t>Ratings</t>
  </si>
  <si>
    <t>Agency</t>
  </si>
  <si>
    <t>Subject</t>
  </si>
  <si>
    <t>Rating Type</t>
  </si>
  <si>
    <t>Rating</t>
  </si>
  <si>
    <t>Forecast</t>
  </si>
  <si>
    <t>stable</t>
  </si>
  <si>
    <t>Individual creditworthiness</t>
  </si>
  <si>
    <t>&gt;&gt;  Geographical Coverage</t>
  </si>
  <si>
    <t>&gt;&gt;  Logistics Coverage</t>
  </si>
  <si>
    <t>Northwestern Federal District</t>
  </si>
  <si>
    <t>Urals Federal District</t>
  </si>
  <si>
    <t>Total number of stores by formats</t>
  </si>
  <si>
    <t>(some discrepancies are due to managerial accounting of separate stores in the neighboring regions)</t>
  </si>
  <si>
    <t>Number of stores, eop</t>
  </si>
  <si>
    <t>&gt;&gt;  Ratings</t>
  </si>
  <si>
    <t xml:space="preserve">Total number of stores by regions </t>
  </si>
  <si>
    <t>Transportation expenses</t>
  </si>
  <si>
    <t>Convenience stores</t>
  </si>
  <si>
    <t>Average ticket, RUB</t>
  </si>
  <si>
    <t>Investment property</t>
  </si>
  <si>
    <t>North-Caucasian Federal District</t>
  </si>
  <si>
    <t>Foreign exchange loss / (gain)</t>
  </si>
  <si>
    <t>Decrease / (increase) in trade and other receivables</t>
  </si>
  <si>
    <t>Decrease / (increase) in taxes receivable</t>
  </si>
  <si>
    <t>Decrease / (increase) in prepaid expenses</t>
  </si>
  <si>
    <t>Long term advances received</t>
  </si>
  <si>
    <t>Short-term advances received</t>
  </si>
  <si>
    <t>Foreign exchange (loss)  / gain</t>
  </si>
  <si>
    <t>1Q 2014</t>
  </si>
  <si>
    <t>2Q 2014</t>
  </si>
  <si>
    <t>3Q 2014</t>
  </si>
  <si>
    <t>4Q 2014</t>
  </si>
  <si>
    <t>1Q 2015</t>
  </si>
  <si>
    <t>3Q 2015</t>
  </si>
  <si>
    <t>4Q 2015</t>
  </si>
  <si>
    <t>2Q 2015</t>
  </si>
  <si>
    <t>PJSC Magnit</t>
  </si>
  <si>
    <t>Number of tickets, mln</t>
  </si>
  <si>
    <t>Total net retail sales, RUB mln</t>
  </si>
  <si>
    <t>Traffic growth</t>
  </si>
  <si>
    <t>Sales growth</t>
  </si>
  <si>
    <t>Average ticket growth</t>
  </si>
  <si>
    <t>Retail LFL (%) - Magnit total company</t>
  </si>
  <si>
    <t>Retail LFL (%)  - Convenience stores</t>
  </si>
  <si>
    <t>Retail LFL (%)  - Supermarkets</t>
  </si>
  <si>
    <t>Moscow &amp; Moscow region</t>
  </si>
  <si>
    <t>Total value, 
ths Rub</t>
  </si>
  <si>
    <t>Coupon rate</t>
  </si>
  <si>
    <t>Interest payment period</t>
  </si>
  <si>
    <t>Date of placement</t>
  </si>
  <si>
    <t>182 day</t>
  </si>
  <si>
    <t>1H 2017</t>
  </si>
  <si>
    <t>FY 2017</t>
  </si>
  <si>
    <t>1H 2018</t>
  </si>
  <si>
    <t>FY 2018</t>
  </si>
  <si>
    <t>FY 2016</t>
  </si>
  <si>
    <t>Deferred tax asset</t>
  </si>
  <si>
    <t>Government grants</t>
  </si>
  <si>
    <t>Contract liabilities</t>
  </si>
  <si>
    <t>Net debt/EBITDA ratio</t>
  </si>
  <si>
    <t>Rent</t>
  </si>
  <si>
    <t>Utilities</t>
  </si>
  <si>
    <t>IAS 17</t>
  </si>
  <si>
    <t>&gt;&gt; Balance Sheet</t>
  </si>
  <si>
    <t>&gt;&gt; P&amp;L statement</t>
  </si>
  <si>
    <t>&gt;&gt; Cash Flow Statement</t>
  </si>
  <si>
    <t>&gt;&gt; Bonds</t>
  </si>
  <si>
    <t>&gt;&gt; Operating results</t>
  </si>
  <si>
    <t>&gt;&gt; Monthly operating data</t>
  </si>
  <si>
    <t>Consolidated Statement of Financial Position</t>
  </si>
  <si>
    <t>1H 2019</t>
  </si>
  <si>
    <t>IFRS 16</t>
  </si>
  <si>
    <t>OPERATING PROFIT</t>
  </si>
  <si>
    <t>Consolidated Statement of Profit &amp; Loss</t>
  </si>
  <si>
    <t>NET PROFIT</t>
  </si>
  <si>
    <t>Net profit margin</t>
  </si>
  <si>
    <t>LTI</t>
  </si>
  <si>
    <t>One offs</t>
  </si>
  <si>
    <t xml:space="preserve">Consolidated  Cash Flow Statement </t>
  </si>
  <si>
    <t>Cash and cash equivalents at the beginning of the period</t>
  </si>
  <si>
    <t>Cash and cash equivalents at the end of the period</t>
  </si>
  <si>
    <t>Total Debt</t>
  </si>
  <si>
    <t>Operating results</t>
  </si>
  <si>
    <t>FY 2014</t>
  </si>
  <si>
    <t>Supermarkets</t>
  </si>
  <si>
    <t>Other formats</t>
  </si>
  <si>
    <t>Drogerie stores</t>
  </si>
  <si>
    <t>Retail LFL (%)  - Drogerie stores</t>
  </si>
  <si>
    <t>FY 2015</t>
  </si>
  <si>
    <t>1Q 2017</t>
  </si>
  <si>
    <t>2Q 2017</t>
  </si>
  <si>
    <t>3Q 2017</t>
  </si>
  <si>
    <t>4Q 2017</t>
  </si>
  <si>
    <t>1Q 2016</t>
  </si>
  <si>
    <t>2Q 2016</t>
  </si>
  <si>
    <t>3Q 2016</t>
  </si>
  <si>
    <t>4Q 2016</t>
  </si>
  <si>
    <t>1Q 2018</t>
  </si>
  <si>
    <t>2Q 2018</t>
  </si>
  <si>
    <t>3Q 2018</t>
  </si>
  <si>
    <t>4Q 2018</t>
  </si>
  <si>
    <t>1Q 2019</t>
  </si>
  <si>
    <t>2Q 2019</t>
  </si>
  <si>
    <t>3Q 2019</t>
  </si>
  <si>
    <t>Debt composition</t>
  </si>
  <si>
    <t>EBITDA pre LTI adjusted</t>
  </si>
  <si>
    <t>EBITDA margin pre LTI adjusted</t>
  </si>
  <si>
    <t>St. Petersburg &amp; Leningrad region</t>
  </si>
  <si>
    <t>(in RUB thousand)</t>
  </si>
  <si>
    <t xml:space="preserve">CONTENT: </t>
  </si>
  <si>
    <r>
      <t xml:space="preserve">MGNT DATABOOK  </t>
    </r>
    <r>
      <rPr>
        <b/>
        <sz val="10"/>
        <color theme="0" tint="-0.14999847407452621"/>
        <rFont val="Helvetica Neue"/>
      </rPr>
      <t>Rubles</t>
    </r>
  </si>
  <si>
    <t>Key Figures</t>
  </si>
  <si>
    <t>Total Revenues</t>
  </si>
  <si>
    <r>
      <t>Annual</t>
    </r>
    <r>
      <rPr>
        <b/>
        <sz val="8"/>
        <color theme="1" tint="0.499984740745262"/>
        <rFont val="Helvetica Neue"/>
      </rPr>
      <t xml:space="preserve"> </t>
    </r>
    <r>
      <rPr>
        <b/>
        <sz val="9"/>
        <color theme="1" tint="0.499984740745262"/>
        <rFont val="Helvetica Neue"/>
      </rPr>
      <t>Growth Rate</t>
    </r>
  </si>
  <si>
    <t>4th Quarter</t>
  </si>
  <si>
    <t>3rd Quarter</t>
  </si>
  <si>
    <t xml:space="preserve">2nd Quarter </t>
  </si>
  <si>
    <t>1st Quarter</t>
  </si>
  <si>
    <r>
      <t xml:space="preserve">Total Selling Space </t>
    </r>
    <r>
      <rPr>
        <b/>
        <sz val="8"/>
        <color theme="1" tint="0.499984740745262"/>
        <rFont val="Helvetica Neue"/>
      </rPr>
      <t>Square Meters</t>
    </r>
  </si>
  <si>
    <t>New Selling Space Added</t>
  </si>
  <si>
    <t>EBITDA Margin:</t>
  </si>
  <si>
    <t>LFL Sales</t>
  </si>
  <si>
    <t>LFL Ticket</t>
  </si>
  <si>
    <t>LFL Traffic</t>
  </si>
  <si>
    <r>
      <t xml:space="preserve">Implied LFL  </t>
    </r>
    <r>
      <rPr>
        <sz val="9"/>
        <color theme="1" tint="0.499984740745262"/>
        <rFont val="Helvetica Neue"/>
      </rPr>
      <t>(Sales Growth Rate - Space Growth Rate)</t>
    </r>
  </si>
  <si>
    <t>Net Operating Cash Flow</t>
  </si>
  <si>
    <r>
      <rPr>
        <sz val="9"/>
        <color theme="1" tint="0.499984740745262"/>
        <rFont val="Helvetica Neue"/>
      </rPr>
      <t xml:space="preserve">CapEx: </t>
    </r>
    <r>
      <rPr>
        <sz val="9"/>
        <color theme="1"/>
        <rFont val="Helvetica Neue"/>
      </rPr>
      <t>Buildings under Construction</t>
    </r>
  </si>
  <si>
    <r>
      <rPr>
        <sz val="9"/>
        <color theme="1" tint="0.499984740745262"/>
        <rFont val="Helvetica Neue"/>
      </rPr>
      <t>CapEx:</t>
    </r>
    <r>
      <rPr>
        <sz val="9"/>
        <color theme="1"/>
        <rFont val="Helvetica Neue"/>
      </rPr>
      <t xml:space="preserve"> Land</t>
    </r>
  </si>
  <si>
    <r>
      <rPr>
        <sz val="9"/>
        <color theme="1" tint="0.499984740745262"/>
        <rFont val="Helvetica Neue"/>
      </rPr>
      <t>CapEx:</t>
    </r>
    <r>
      <rPr>
        <sz val="9"/>
        <color theme="1"/>
        <rFont val="Helvetica Neue"/>
      </rPr>
      <t xml:space="preserve"> Machinery &amp; Equipment</t>
    </r>
  </si>
  <si>
    <r>
      <rPr>
        <sz val="9"/>
        <color theme="1" tint="0.499984740745262"/>
        <rFont val="Helvetica Neue"/>
      </rPr>
      <t>CapEx:</t>
    </r>
    <r>
      <rPr>
        <sz val="9"/>
        <color theme="1"/>
        <rFont val="Helvetica Neue"/>
      </rPr>
      <t xml:space="preserve"> Other Assets</t>
    </r>
  </si>
  <si>
    <r>
      <rPr>
        <sz val="9"/>
        <color theme="1" tint="0.499984740745262"/>
        <rFont val="Helvetica Neue"/>
      </rPr>
      <t xml:space="preserve">CapEx: </t>
    </r>
    <r>
      <rPr>
        <sz val="9"/>
        <color theme="1"/>
        <rFont val="Helvetica Neue"/>
      </rPr>
      <t>Buildings</t>
    </r>
  </si>
  <si>
    <t>Total CapEx Spending</t>
  </si>
  <si>
    <t>Free Cash Flow</t>
  </si>
  <si>
    <t>CapEx as a Percent of Sales</t>
  </si>
  <si>
    <t>Earnings per Share</t>
  </si>
  <si>
    <r>
      <t>Dividends per Share</t>
    </r>
    <r>
      <rPr>
        <sz val="8"/>
        <color theme="1" tint="0.499984740745262"/>
        <rFont val="Helvetica Neue"/>
      </rPr>
      <t xml:space="preserve"> </t>
    </r>
  </si>
  <si>
    <r>
      <t>Free Cash Flow per Share</t>
    </r>
    <r>
      <rPr>
        <sz val="8"/>
        <color theme="1"/>
        <rFont val="Helvetica Neue"/>
      </rPr>
      <t xml:space="preserve"> </t>
    </r>
  </si>
  <si>
    <t xml:space="preserve">Book Value per Share </t>
  </si>
  <si>
    <r>
      <t xml:space="preserve">Shares </t>
    </r>
    <r>
      <rPr>
        <sz val="9"/>
        <color theme="1" tint="0.499984740745262"/>
        <rFont val="Helvetica Neue"/>
      </rPr>
      <t>(EOP)</t>
    </r>
  </si>
  <si>
    <t>Return on Invested Capital</t>
  </si>
  <si>
    <r>
      <t xml:space="preserve">NOPLAT </t>
    </r>
    <r>
      <rPr>
        <sz val="9"/>
        <color theme="1"/>
        <rFont val="Helvetica Neue"/>
      </rPr>
      <t xml:space="preserve"> "</t>
    </r>
    <r>
      <rPr>
        <sz val="9"/>
        <color theme="1" tint="0.499984740745262"/>
        <rFont val="Helvetica Neue"/>
      </rPr>
      <t>Net Operating Profit Less Adjusted Taxes"</t>
    </r>
  </si>
  <si>
    <r>
      <t xml:space="preserve">Net Operating Profit  </t>
    </r>
    <r>
      <rPr>
        <sz val="8"/>
        <color theme="1" tint="0.499984740745262"/>
        <rFont val="Helvetica Neue"/>
      </rPr>
      <t>"EBIT"</t>
    </r>
  </si>
  <si>
    <t>Tax Rate</t>
  </si>
  <si>
    <r>
      <t xml:space="preserve">Invested Capital </t>
    </r>
    <r>
      <rPr>
        <b/>
        <sz val="9"/>
        <color theme="1" tint="0.499984740745262"/>
        <rFont val="Helvetica Neue"/>
      </rPr>
      <t>(Equity + Net Debt)</t>
    </r>
  </si>
  <si>
    <r>
      <t xml:space="preserve">Net Debt </t>
    </r>
    <r>
      <rPr>
        <sz val="9"/>
        <color theme="1" tint="0.499984740745262"/>
        <rFont val="Helvetica Neue"/>
      </rPr>
      <t>(Cash + Total Debt)</t>
    </r>
  </si>
  <si>
    <t>Cash</t>
  </si>
  <si>
    <r>
      <t xml:space="preserve">Total Debt </t>
    </r>
    <r>
      <rPr>
        <sz val="9"/>
        <color theme="1" tint="0.499984740745262"/>
        <rFont val="Helvetica Neue"/>
      </rPr>
      <t>(ST + LT Debt)</t>
    </r>
  </si>
  <si>
    <t>Short-Term Debt</t>
  </si>
  <si>
    <t>Long-Term Debt</t>
  </si>
  <si>
    <t>Margins</t>
  </si>
  <si>
    <t>Revenues</t>
  </si>
  <si>
    <t>Cost of Goods Sold "COGS"</t>
  </si>
  <si>
    <t>Transportation Expenses</t>
  </si>
  <si>
    <t>Losses due to Inventory "Shrinkage"</t>
  </si>
  <si>
    <t>N/A</t>
  </si>
  <si>
    <t>Cost of Sales</t>
  </si>
  <si>
    <t>Gross Margin:</t>
  </si>
  <si>
    <t>Payroll Related Taxes</t>
  </si>
  <si>
    <t>Selling Expenses</t>
  </si>
  <si>
    <t>SG&amp;A:</t>
  </si>
  <si>
    <t>Operating Margin:</t>
  </si>
  <si>
    <t>Interest Expenses</t>
  </si>
  <si>
    <t>Other Expenses</t>
  </si>
  <si>
    <t>Investment Income</t>
  </si>
  <si>
    <t>Other Income</t>
  </si>
  <si>
    <t>Income Taxes</t>
  </si>
  <si>
    <t>Other Income &amp; Expenses:</t>
  </si>
  <si>
    <t>Net Income Margin:</t>
  </si>
  <si>
    <r>
      <rPr>
        <sz val="10"/>
        <color theme="1" tint="0.499984740745262"/>
        <rFont val="Helvetica Neue"/>
      </rPr>
      <t xml:space="preserve">plus - </t>
    </r>
    <r>
      <rPr>
        <sz val="10"/>
        <color theme="1"/>
        <rFont val="Helvetica Neue"/>
      </rPr>
      <t>Investment Income</t>
    </r>
    <r>
      <rPr>
        <sz val="10"/>
        <color theme="1" tint="0.499984740745262"/>
        <rFont val="Helvetica Neue"/>
      </rPr>
      <t xml:space="preserve"> (from Income Statement)</t>
    </r>
  </si>
  <si>
    <r>
      <rPr>
        <sz val="10"/>
        <color theme="1" tint="0.499984740745262"/>
        <rFont val="Helvetica Neue"/>
      </rPr>
      <t>plus -</t>
    </r>
    <r>
      <rPr>
        <sz val="10"/>
        <color theme="1"/>
        <rFont val="Helvetica Neue"/>
      </rPr>
      <t xml:space="preserve"> Interest </t>
    </r>
    <r>
      <rPr>
        <sz val="10"/>
        <color theme="1" tint="0.499984740745262"/>
        <rFont val="Helvetica Neue"/>
      </rPr>
      <t>(from Income Statement)</t>
    </r>
  </si>
  <si>
    <r>
      <rPr>
        <sz val="10"/>
        <color theme="1" tint="0.499984740745262"/>
        <rFont val="Helvetica Neue"/>
      </rPr>
      <t>plus -</t>
    </r>
    <r>
      <rPr>
        <sz val="10"/>
        <color theme="1"/>
        <rFont val="Helvetica Neue"/>
      </rPr>
      <t xml:space="preserve">Foreign Exchange (Loss)/Gain </t>
    </r>
    <r>
      <rPr>
        <sz val="10"/>
        <color theme="1" tint="0.499984740745262"/>
        <rFont val="Helvetica Neue"/>
      </rPr>
      <t>(from Income Statement)</t>
    </r>
  </si>
  <si>
    <r>
      <rPr>
        <sz val="10"/>
        <color theme="1" tint="0.499984740745262"/>
        <rFont val="Helvetica Neue"/>
      </rPr>
      <t xml:space="preserve">plus - </t>
    </r>
    <r>
      <rPr>
        <sz val="10"/>
        <color theme="1"/>
        <rFont val="Helvetica Neue"/>
      </rPr>
      <t>Taxes</t>
    </r>
    <r>
      <rPr>
        <sz val="10"/>
        <color theme="1" tint="0.499984740745262"/>
        <rFont val="Helvetica Neue"/>
      </rPr>
      <t xml:space="preserve"> (from Income Statrement)</t>
    </r>
  </si>
  <si>
    <t>EBIT Margin:</t>
  </si>
  <si>
    <r>
      <rPr>
        <sz val="10"/>
        <color theme="1" tint="0.499984740745262"/>
        <rFont val="Helvetica Neue"/>
      </rPr>
      <t xml:space="preserve">plus - </t>
    </r>
    <r>
      <rPr>
        <sz val="10"/>
        <color theme="1"/>
        <rFont val="Helvetica Neue"/>
      </rPr>
      <t>Depreciation</t>
    </r>
    <r>
      <rPr>
        <sz val="10"/>
        <color theme="1" tint="0.499984740745262"/>
        <rFont val="Helvetica Neue"/>
      </rPr>
      <t xml:space="preserve"> (from Cash Flow Statement)</t>
    </r>
  </si>
  <si>
    <r>
      <rPr>
        <sz val="10"/>
        <color theme="1" tint="0.499984740745262"/>
        <rFont val="Helvetica Neue"/>
      </rPr>
      <t xml:space="preserve">plus - </t>
    </r>
    <r>
      <rPr>
        <sz val="10"/>
        <color theme="1"/>
        <rFont val="Helvetica Neue"/>
      </rPr>
      <t>Amoritization</t>
    </r>
    <r>
      <rPr>
        <sz val="10"/>
        <color theme="1" tint="0.499984740745262"/>
        <rFont val="Helvetica Neue"/>
      </rPr>
      <t xml:space="preserve"> (from Cash Flow Statement)</t>
    </r>
  </si>
  <si>
    <r>
      <rPr>
        <sz val="10"/>
        <color theme="1" tint="0.499984740745262"/>
        <rFont val="Helvetica Neue"/>
      </rPr>
      <t xml:space="preserve">plus - </t>
    </r>
    <r>
      <rPr>
        <sz val="10"/>
        <color theme="1"/>
        <rFont val="Helvetica Neue"/>
      </rPr>
      <t xml:space="preserve">Rent </t>
    </r>
    <r>
      <rPr>
        <sz val="10"/>
        <color theme="1" tint="0.499984740745262"/>
        <rFont val="Helvetica Neue"/>
      </rPr>
      <t>(from Income Statement)</t>
    </r>
  </si>
  <si>
    <t>EBITDAR Margin:</t>
  </si>
  <si>
    <t>Free Cash Flow Margin:</t>
  </si>
  <si>
    <t>DuPont Ratios</t>
  </si>
  <si>
    <t>Profitability Ratios:</t>
  </si>
  <si>
    <r>
      <t>Return on Equity</t>
    </r>
    <r>
      <rPr>
        <sz val="8"/>
        <color theme="1" tint="0.499984740745262"/>
        <rFont val="Helvetica Neue"/>
      </rPr>
      <t xml:space="preserve"> (%)</t>
    </r>
  </si>
  <si>
    <r>
      <t>Return on Assets</t>
    </r>
    <r>
      <rPr>
        <sz val="8"/>
        <color theme="1"/>
        <rFont val="Helvetica Neue"/>
      </rPr>
      <t xml:space="preserve"> </t>
    </r>
    <r>
      <rPr>
        <sz val="8"/>
        <color theme="1" tint="0.499984740745262"/>
        <rFont val="Helvetica Neue"/>
      </rPr>
      <t>(%)</t>
    </r>
  </si>
  <si>
    <r>
      <t>Return on Invested Capital</t>
    </r>
    <r>
      <rPr>
        <sz val="8"/>
        <color theme="1" tint="0.499984740745262"/>
        <rFont val="Helvetica Neue"/>
      </rPr>
      <t xml:space="preserve"> (%)</t>
    </r>
  </si>
  <si>
    <r>
      <t>Profit Margin</t>
    </r>
    <r>
      <rPr>
        <sz val="8"/>
        <color theme="1" tint="0.499984740745262"/>
        <rFont val="Helvetica Neue"/>
      </rPr>
      <t xml:space="preserve"> "Net Income" (%)</t>
    </r>
  </si>
  <si>
    <r>
      <t xml:space="preserve">Gross Margin </t>
    </r>
    <r>
      <rPr>
        <sz val="8"/>
        <color theme="1" tint="0.499984740745262"/>
        <rFont val="Helvetica Neue"/>
      </rPr>
      <t>(%)</t>
    </r>
  </si>
  <si>
    <r>
      <t xml:space="preserve">Price to Earnings TTM </t>
    </r>
    <r>
      <rPr>
        <sz val="8"/>
        <color theme="1" tint="0.499984740745262"/>
        <rFont val="Helvetica Neue"/>
      </rPr>
      <t>"Local Shares" (X)</t>
    </r>
  </si>
  <si>
    <t>Turnover Control Ratios:</t>
  </si>
  <si>
    <r>
      <t xml:space="preserve">Asset Turnover </t>
    </r>
    <r>
      <rPr>
        <sz val="8"/>
        <color theme="1" tint="0.499984740745262"/>
        <rFont val="Helvetica Neue"/>
      </rPr>
      <t>(x)</t>
    </r>
  </si>
  <si>
    <r>
      <t>Fixed Asset Turnover</t>
    </r>
    <r>
      <rPr>
        <sz val="10"/>
        <color theme="1" tint="0.499984740745262"/>
        <rFont val="Helvetica Neue"/>
      </rPr>
      <t xml:space="preserve"> </t>
    </r>
    <r>
      <rPr>
        <sz val="8"/>
        <color theme="1" tint="0.499984740745262"/>
        <rFont val="Helvetica Neue"/>
      </rPr>
      <t>(x)</t>
    </r>
  </si>
  <si>
    <r>
      <t>Inventory Turnover</t>
    </r>
    <r>
      <rPr>
        <sz val="8"/>
        <color theme="1"/>
        <rFont val="Helvetica Neue"/>
      </rPr>
      <t xml:space="preserve"> </t>
    </r>
    <r>
      <rPr>
        <sz val="8"/>
        <color theme="1" tint="0.499984740745262"/>
        <rFont val="Helvetica Neue"/>
      </rPr>
      <t>(x)</t>
    </r>
  </si>
  <si>
    <r>
      <t>Days' Sales in Cash</t>
    </r>
    <r>
      <rPr>
        <sz val="8"/>
        <color theme="1" tint="0.499984740745262"/>
        <rFont val="Helvetica Neue"/>
      </rPr>
      <t xml:space="preserve"> (days)</t>
    </r>
  </si>
  <si>
    <r>
      <t xml:space="preserve">Payables Period </t>
    </r>
    <r>
      <rPr>
        <sz val="8"/>
        <color theme="1" tint="0.499984740745262"/>
        <rFont val="Helvetica Neue"/>
      </rPr>
      <t>(days)</t>
    </r>
  </si>
  <si>
    <r>
      <t xml:space="preserve">Inventory </t>
    </r>
    <r>
      <rPr>
        <sz val="8"/>
        <color theme="1" tint="0.499984740745262"/>
        <rFont val="Helvetica Neue"/>
      </rPr>
      <t>(days)</t>
    </r>
  </si>
  <si>
    <t>Leverage &amp; Liquidity Ratios</t>
  </si>
  <si>
    <r>
      <t xml:space="preserve">Net Debt to EBITDA </t>
    </r>
    <r>
      <rPr>
        <sz val="8"/>
        <color theme="1" tint="0.499984740745262"/>
        <rFont val="Helvetica Neue"/>
      </rPr>
      <t>(x)</t>
    </r>
  </si>
  <si>
    <r>
      <t>Assets to Equity</t>
    </r>
    <r>
      <rPr>
        <sz val="8"/>
        <color theme="1" tint="0.499984740745262"/>
        <rFont val="Helvetica Neue"/>
      </rPr>
      <t xml:space="preserve"> "Financial Leverage" (x)</t>
    </r>
  </si>
  <si>
    <r>
      <t>Debt to Current Assets</t>
    </r>
    <r>
      <rPr>
        <sz val="8"/>
        <color theme="1" tint="0.499984740745262"/>
        <rFont val="Helvetica Neue"/>
      </rPr>
      <t xml:space="preserve"> (%)</t>
    </r>
  </si>
  <si>
    <r>
      <t>Debt to Equity</t>
    </r>
    <r>
      <rPr>
        <sz val="8"/>
        <color theme="1" tint="0.499984740745262"/>
        <rFont val="Helvetica Neue"/>
      </rPr>
      <t xml:space="preserve"> (%)</t>
    </r>
  </si>
  <si>
    <r>
      <t>Times Interest Earned</t>
    </r>
    <r>
      <rPr>
        <sz val="8"/>
        <color theme="1" tint="0.499984740745262"/>
        <rFont val="Helvetica Neue"/>
      </rPr>
      <t xml:space="preserve"> (x)</t>
    </r>
  </si>
  <si>
    <r>
      <t xml:space="preserve">Current Ratio </t>
    </r>
    <r>
      <rPr>
        <sz val="8"/>
        <color theme="1" tint="0.499984740745262"/>
        <rFont val="Helvetica Neue"/>
      </rPr>
      <t>(x)</t>
    </r>
  </si>
  <si>
    <r>
      <t>Acid Test</t>
    </r>
    <r>
      <rPr>
        <sz val="8"/>
        <color theme="1" tint="0.499984740745262"/>
        <rFont val="Helvetica Neue"/>
      </rPr>
      <t xml:space="preserve"> (x)</t>
    </r>
  </si>
  <si>
    <t xml:space="preserve">Dividends   </t>
  </si>
  <si>
    <t>2nd Quarter</t>
  </si>
  <si>
    <r>
      <t xml:space="preserve">Annual Payout </t>
    </r>
    <r>
      <rPr>
        <b/>
        <sz val="8"/>
        <color theme="1" tint="0.499984740745262"/>
        <rFont val="Helvetica Neue"/>
      </rPr>
      <t xml:space="preserve"> "Cash Basis" (Rubles)</t>
    </r>
  </si>
  <si>
    <r>
      <t>Dividend Yield</t>
    </r>
    <r>
      <rPr>
        <sz val="8"/>
        <color theme="1" tint="0.499984740745262"/>
        <rFont val="Helvetica Neue"/>
      </rPr>
      <t xml:space="preserve"> </t>
    </r>
  </si>
  <si>
    <t xml:space="preserve">Payout Ratio from Net Income </t>
  </si>
  <si>
    <t>Capitalization</t>
  </si>
  <si>
    <r>
      <t>Market Capitalization</t>
    </r>
    <r>
      <rPr>
        <b/>
        <sz val="9"/>
        <color theme="1" tint="0.499984740745262"/>
        <rFont val="Helvetica Neue"/>
      </rPr>
      <t xml:space="preserve"> </t>
    </r>
    <r>
      <rPr>
        <b/>
        <sz val="8"/>
        <color theme="1" tint="0.499984740745262"/>
        <rFont val="Helvetica Neue"/>
      </rPr>
      <t>Rubles</t>
    </r>
  </si>
  <si>
    <r>
      <t>Local Shares: Price</t>
    </r>
    <r>
      <rPr>
        <sz val="9"/>
        <color rgb="FF011893"/>
        <rFont val="Helvetica Neue"/>
      </rPr>
      <t xml:space="preserve"> </t>
    </r>
    <r>
      <rPr>
        <sz val="8"/>
        <color theme="1" tint="0.499984740745262"/>
        <rFont val="Helvetica Neue"/>
      </rPr>
      <t>Rubles (MGNT-RX )</t>
    </r>
  </si>
  <si>
    <r>
      <t xml:space="preserve">GDR Shares: Price </t>
    </r>
    <r>
      <rPr>
        <sz val="8"/>
        <color theme="1" tint="0.499984740745262"/>
        <rFont val="Helvetica Neue"/>
      </rPr>
      <t>USD (MGNT-LI)</t>
    </r>
  </si>
  <si>
    <r>
      <t>GDR Shares: Price</t>
    </r>
    <r>
      <rPr>
        <sz val="9"/>
        <color theme="1"/>
        <rFont val="Helvetica Neue"/>
      </rPr>
      <t xml:space="preserve"> </t>
    </r>
    <r>
      <rPr>
        <sz val="8"/>
        <color theme="1" tint="0.499984740745262"/>
        <rFont val="Helvetica Neue"/>
      </rPr>
      <t>Rubles</t>
    </r>
  </si>
  <si>
    <t>Premium: GDRs vs Locals</t>
  </si>
  <si>
    <t>Ownership</t>
  </si>
  <si>
    <t xml:space="preserve">Total Shares Outstanding </t>
  </si>
  <si>
    <t>New Shares Issued in 2017 FPO</t>
  </si>
  <si>
    <t>New Shares Issued in 2011 FPO</t>
  </si>
  <si>
    <t>New Shares Issued in 2009 FPO</t>
  </si>
  <si>
    <t>New Shares Issued in 2008 FPO</t>
  </si>
  <si>
    <t>New Shares Issued in 2006 IPO</t>
  </si>
  <si>
    <r>
      <t xml:space="preserve">New Issues &amp; Redemptions </t>
    </r>
    <r>
      <rPr>
        <b/>
        <sz val="9"/>
        <color theme="1" tint="0.499984740745262"/>
        <rFont val="Helvetica Neue"/>
      </rPr>
      <t>(Rubles)</t>
    </r>
  </si>
  <si>
    <t>2017 / No New Bond Placements</t>
  </si>
  <si>
    <r>
      <t xml:space="preserve">2016 / BO-001P-04 Series - </t>
    </r>
    <r>
      <rPr>
        <sz val="8"/>
        <color theme="1" tint="0.499984740745262"/>
        <rFont val="Helvetica Neue"/>
      </rPr>
      <t>1.5 Years Bond / 10.00%</t>
    </r>
  </si>
  <si>
    <t>10,000,000 - Number of Securities</t>
  </si>
  <si>
    <t>1,000 ₽ - Nominal Value of Each Security "Face Value"</t>
  </si>
  <si>
    <t>100% - Placement Price (% of Nominal Value)</t>
  </si>
  <si>
    <t>10.00% - Interest Rate (Based on Auction Results)</t>
  </si>
  <si>
    <t>Fixed - Interest Rate Type</t>
  </si>
  <si>
    <t>3 - Number of Coupons</t>
  </si>
  <si>
    <t>541 - Number of Days - Placement to Maturity</t>
  </si>
  <si>
    <t xml:space="preserve"> 1st - 484 900 000, others - 498 600 000 Total Yield on each Coupon</t>
  </si>
  <si>
    <t xml:space="preserve"> 1st - 48,49, others - 49,86 - Yield per One Bond for each Coupon</t>
  </si>
  <si>
    <t>2016-JUN-30 Date of State Registration</t>
  </si>
  <si>
    <t>2016-JUL-05 Date of Placement</t>
  </si>
  <si>
    <t>2016-DEC-29 Date of 1st Payment</t>
  </si>
  <si>
    <t>2017-JUN-29 Date of 2nd Payment</t>
  </si>
  <si>
    <t>2017-DEC-28 Date of 3rd Payment</t>
  </si>
  <si>
    <t>2017-DEC-28 Date of Maturity "Redemption Date"</t>
  </si>
  <si>
    <t>Open Subscription - Method of Placement</t>
  </si>
  <si>
    <t>Exchange Bond - Security Type</t>
  </si>
  <si>
    <t xml:space="preserve">Traded on Stock Market - Instrument Type </t>
  </si>
  <si>
    <t>4В02-04-60525-P-001P - State Registration</t>
  </si>
  <si>
    <t>ISIN Codes</t>
  </si>
  <si>
    <r>
      <t xml:space="preserve">2016 / BO-001P-03 Series - </t>
    </r>
    <r>
      <rPr>
        <sz val="8"/>
        <color theme="1" tint="0.499984740745262"/>
        <rFont val="Helvetica Neue"/>
      </rPr>
      <t>2 Years Bond / 10.60%</t>
    </r>
  </si>
  <si>
    <t>1,000 - Nominal Value of Each Security "Face Value"</t>
  </si>
  <si>
    <t>10.60% - Interest Rate (Based on Auction Results)</t>
  </si>
  <si>
    <t>4 - Number of Coupons</t>
  </si>
  <si>
    <t>728 - Number of Days - Placement to Maturity</t>
  </si>
  <si>
    <t>528,500,000 - Total Yield on each Coupon</t>
  </si>
  <si>
    <t>53 - Yield per One Bond for each Coupon</t>
  </si>
  <si>
    <t>2016-APR-04 Date of State Registration</t>
  </si>
  <si>
    <t>2016-APR-12 Date of Placement</t>
  </si>
  <si>
    <t>2016-OCT-11 Date of 1st Payment</t>
  </si>
  <si>
    <t>2017-APR-11 Date of 2nd Payment</t>
  </si>
  <si>
    <t>2017-OCT-10 Date of 3rd Payment</t>
  </si>
  <si>
    <t>2018-APR-10 Date  of 4th Payment</t>
  </si>
  <si>
    <t>2018-APR-10 Date of Maturity "Redemption Date"</t>
  </si>
  <si>
    <t>4B02-03-60525-P-001P - State Registration</t>
  </si>
  <si>
    <r>
      <t xml:space="preserve">2016 / BO-001P-02 Series - </t>
    </r>
    <r>
      <rPr>
        <sz val="8"/>
        <color theme="1" tint="0.499984740745262"/>
        <rFont val="Helvetica Neue"/>
      </rPr>
      <t>2 Years Bond / 11.20%</t>
    </r>
  </si>
  <si>
    <t>11.20% - Interest Rate (Based on Auction Results)</t>
  </si>
  <si>
    <t>558,500,000 ₽ - Total Yield on each Coupon</t>
  </si>
  <si>
    <t>55.85 ₽ - Yield per One Bond for each Coupon</t>
  </si>
  <si>
    <t>2015-OCT-23 Date of State Registration</t>
  </si>
  <si>
    <t>2016-FEB-29 Date of Placement</t>
  </si>
  <si>
    <t>2016-AUG-29 Date of 1st Payment</t>
  </si>
  <si>
    <t>2017-FEB-27 Date of 2nd Payment</t>
  </si>
  <si>
    <t>2017-AUG-28 Date of 3rd Payment</t>
  </si>
  <si>
    <t>2018-FEB-26 Date  of 4th Payment</t>
  </si>
  <si>
    <t>2018-FEB-26 Date of Maturity "Redemption Date"</t>
  </si>
  <si>
    <t>4B02-02-60525-P-001P - State Registration</t>
  </si>
  <si>
    <r>
      <t xml:space="preserve">2015 / BO-001P-01 Series - </t>
    </r>
    <r>
      <rPr>
        <sz val="8"/>
        <color theme="1" tint="0.499984740745262"/>
        <rFont val="Helvetica Neue"/>
      </rPr>
      <t>1.5 Years Bond / 11.20%</t>
    </r>
  </si>
  <si>
    <t>100%  - Placement Price (% of Nominal Value)</t>
  </si>
  <si>
    <t>546 - Number of Days - Placement to Maturity</t>
  </si>
  <si>
    <t>2015-NOV-05 - Date of State Registration</t>
  </si>
  <si>
    <t>2015-NOV-11 - Date of Placement</t>
  </si>
  <si>
    <t>2016-MAY-11 - Date of 1st Payment</t>
  </si>
  <si>
    <t>2016-NOV-09 - Date of 2nd Payment</t>
  </si>
  <si>
    <t>2017-MAY-10 - Date of 3rd Payment</t>
  </si>
  <si>
    <t>2017-MAY-10 - Date of Maturity "Redemption Date"</t>
  </si>
  <si>
    <t>4B02-01-60525-P-001P - State Registration</t>
  </si>
  <si>
    <t>RU000A0JVXM8 - ISIN Codes</t>
  </si>
  <si>
    <r>
      <t>2015 / BO-11 Series -</t>
    </r>
    <r>
      <rPr>
        <sz val="8"/>
        <color rgb="FF011893"/>
        <rFont val="Helvetica Neue"/>
      </rPr>
      <t xml:space="preserve"> </t>
    </r>
    <r>
      <rPr>
        <sz val="8"/>
        <color theme="1" tint="0.499984740745262"/>
        <rFont val="Helvetica Neue"/>
      </rPr>
      <t>1.5 Years Bond / 11.70%</t>
    </r>
  </si>
  <si>
    <t>11.70% - Interest Rate (Based on Auction Results)</t>
  </si>
  <si>
    <t>583,400,000 ₽ - Total Yield on each Coupon</t>
  </si>
  <si>
    <t xml:space="preserve"> 58.34 ₽ - Yield per One Bond for each Coupon</t>
  </si>
  <si>
    <t>2013-JUL-30 Date of State Registration</t>
  </si>
  <si>
    <t>2015-OCT-20 Date of Placement</t>
  </si>
  <si>
    <t>2016-APR-19 Date of 1st Payment</t>
  </si>
  <si>
    <t>2016-OCT-18 Date of 2nd Payment</t>
  </si>
  <si>
    <t>2017-APR-18 Date of Maturity "Redemption Date"</t>
  </si>
  <si>
    <t>4B02-11-60525-P - State Registration</t>
  </si>
  <si>
    <t>RU000A0JVUZ6 - ISIN Codes</t>
  </si>
  <si>
    <r>
      <t xml:space="preserve">2015 / BO-10 Series - </t>
    </r>
    <r>
      <rPr>
        <sz val="8"/>
        <color theme="1" tint="0.499984740745262"/>
        <rFont val="Helvetica Neue"/>
      </rPr>
      <t>1 Year Bond / 11.60%</t>
    </r>
  </si>
  <si>
    <t>11.60% - Interest Rate (Based on Auction Results)</t>
  </si>
  <si>
    <t>2 - Number of Coupons</t>
  </si>
  <si>
    <t>364 - Number of Days - Placement to Maturity</t>
  </si>
  <si>
    <t>578,400,000 ₽ - Total Yield on each Coupon</t>
  </si>
  <si>
    <t>57.84 ₽ - Yield per One Bond for each Coupon</t>
  </si>
  <si>
    <t>2015-JUL-23 Date of Placement</t>
  </si>
  <si>
    <t>2016-JAN-21  Date of 1st Payment</t>
  </si>
  <si>
    <t>2016-JUL-21 Date of 2nd Payment</t>
  </si>
  <si>
    <t>2016-JUL-21 Date of Maturity "Redemption Date"</t>
  </si>
  <si>
    <t>Open Subscription Method of Placement</t>
  </si>
  <si>
    <t>Exchange Bond Security Type</t>
  </si>
  <si>
    <t xml:space="preserve">Traded on Stock Market Instrument Type </t>
  </si>
  <si>
    <t>4B02-10-60525-P State Registration</t>
  </si>
  <si>
    <t>RU000A0JVMV2 ISIN Codes</t>
  </si>
  <si>
    <r>
      <t xml:space="preserve">2015 / 03 Series - </t>
    </r>
    <r>
      <rPr>
        <sz val="8"/>
        <color theme="1" tint="0.499984740745262"/>
        <rFont val="Helvetica Neue"/>
      </rPr>
      <t>1 Year Bond / 12.10%</t>
    </r>
  </si>
  <si>
    <t>5,000,000 - Number of Securities</t>
  </si>
  <si>
    <t>12.10% - Interest Rate (Based on Auction Results)</t>
  </si>
  <si>
    <t>6 - Number of Coupons</t>
  </si>
  <si>
    <t>1,092 - Number of Days - Placement to Maturity</t>
  </si>
  <si>
    <t>301,650,000 ₽ - Total Yield on each Coupon</t>
  </si>
  <si>
    <t>60.33 ₽ - Yield per One Bond for each Coupon</t>
  </si>
  <si>
    <t>2011-DEC-27 Date of State Registration</t>
  </si>
  <si>
    <t>2015-MAY-15 Date of Placement</t>
  </si>
  <si>
    <t>2015-NOV-13 Date of 1st Payment</t>
  </si>
  <si>
    <t>2016-MAY-13 Date of 2nd Payment</t>
  </si>
  <si>
    <t>2016-NOV-11 Date of 3rd Payment</t>
  </si>
  <si>
    <t>2017-MAY-12 Date of 4th Payment</t>
  </si>
  <si>
    <t>2017-NOV-10 Date of 5th Payment</t>
  </si>
  <si>
    <t>2018-MAY-11 Date of 6th Payment</t>
  </si>
  <si>
    <t>2018-MAY-11 Date of Maturity "Redemption Date"</t>
  </si>
  <si>
    <t>4-03-60525-P - State Registration</t>
  </si>
  <si>
    <t xml:space="preserve"> RU000A0JVE81 - ISIN Codes</t>
  </si>
  <si>
    <r>
      <t xml:space="preserve">2015 / 02 Series - </t>
    </r>
    <r>
      <rPr>
        <sz val="8"/>
        <color theme="1" tint="0.499984740745262"/>
        <rFont val="Helvetica Neue"/>
      </rPr>
      <t>1 Year Bond / 12.10%</t>
    </r>
  </si>
  <si>
    <t xml:space="preserve"> Traded on Stock Market  Instrument Type </t>
  </si>
  <si>
    <t>4-02-60525-P State Registration</t>
  </si>
  <si>
    <t>RU000A0JVE99 ISIN Codes</t>
  </si>
  <si>
    <t>2014 / No New Bond Placements</t>
  </si>
  <si>
    <r>
      <t xml:space="preserve">2013 / 01 Series - </t>
    </r>
    <r>
      <rPr>
        <sz val="8"/>
        <color theme="1" tint="0.499984740745262"/>
        <rFont val="Helvetica Neue"/>
      </rPr>
      <t>3 years / 8.50%</t>
    </r>
  </si>
  <si>
    <t>8.50% - Interest Rate (Based on Auction Results)</t>
  </si>
  <si>
    <t>211,900,000 ₽ - Total Yield on each Coupon</t>
  </si>
  <si>
    <t xml:space="preserve"> 42.38 ₽ - Yield per One Bond for each Coupon</t>
  </si>
  <si>
    <t>2012-DEC-27 Date of State Registration</t>
  </si>
  <si>
    <t>2013-FEB-26 Date of Placement</t>
  </si>
  <si>
    <t>2013-AUG-27 Date of 1st Payment</t>
  </si>
  <si>
    <t>2014-FEB-25 Date of 2nd Payment</t>
  </si>
  <si>
    <t>2014-AUG-26 Date of 3rd Payment</t>
  </si>
  <si>
    <t>2015-FEB-24 Date of 4th Payment</t>
  </si>
  <si>
    <t>2015-AUG-25 Date of 5th Payment</t>
  </si>
  <si>
    <t>2016-FEB-23 Date of 6th Payment</t>
  </si>
  <si>
    <t>2016-FEB-23 Date of Maturity "Redemption Date"</t>
  </si>
  <si>
    <t>Bond - Security Type</t>
  </si>
  <si>
    <t xml:space="preserve"> Traded on Stock Market - Instrument Type </t>
  </si>
  <si>
    <t>4-01-60525-P - State Registration</t>
  </si>
  <si>
    <t>RU000A0JTP09 - ISIN Codes</t>
  </si>
  <si>
    <r>
      <t xml:space="preserve">2013 / BO-09 Series - </t>
    </r>
    <r>
      <rPr>
        <sz val="8"/>
        <color theme="1" tint="0.499984740745262"/>
        <rFont val="Helvetica Neue"/>
      </rPr>
      <t>3 years / 8.40%</t>
    </r>
  </si>
  <si>
    <t>5,000,000  - Number of Securities</t>
  </si>
  <si>
    <t>8.40% - Interest Rate (Based on Auction Results)</t>
  </si>
  <si>
    <t>209,400,000 ₽ - Total Yield on each Coupon</t>
  </si>
  <si>
    <t>41.88 ₽ - Yield per One Bond for each Coupon</t>
  </si>
  <si>
    <t>2011-AUG-10 Date of State Registration</t>
  </si>
  <si>
    <t>2013-APR-02 Date of Placement</t>
  </si>
  <si>
    <t>2013-OCT-01 Date of 1st Payment</t>
  </si>
  <si>
    <t>2014-APR-01 Date of 2nd Payment</t>
  </si>
  <si>
    <t>2014-SEP-30 Date of 3rd Payment</t>
  </si>
  <si>
    <t>2015-MAR-31 Date of 4th Payment</t>
  </si>
  <si>
    <t>2015-SEP-29 Date of 5th Payment</t>
  </si>
  <si>
    <t>2016-MAR-29 Date of 6th Payment</t>
  </si>
  <si>
    <t>2016-MAR-29 Date of Maturity "Redemption Date"</t>
  </si>
  <si>
    <t>4B02-09-60525-P - State Registration</t>
  </si>
  <si>
    <t>RU000A0JTT39 - ISIN Codes</t>
  </si>
  <si>
    <r>
      <t xml:space="preserve">2013 / BO-08 Series - </t>
    </r>
    <r>
      <rPr>
        <sz val="8"/>
        <color theme="1" tint="0.499984740745262"/>
        <rFont val="Helvetica Neue"/>
      </rPr>
      <t>3 years / 8.40%</t>
    </r>
  </si>
  <si>
    <t>2013-APR-02 - Date of Placement</t>
  </si>
  <si>
    <t>2013-OCT-01 - Date of 1st Payment</t>
  </si>
  <si>
    <t>2014-APR-01 - Date of 2nd Payment</t>
  </si>
  <si>
    <t>2014-SEP-30 - Date of 3rd Payment</t>
  </si>
  <si>
    <t>2015-MAR-31 - Date of 4th Payment</t>
  </si>
  <si>
    <t>2015-SEP-29 - Date of 5th Payment</t>
  </si>
  <si>
    <t>2016-MAR-29 - Date of 6th Payment</t>
  </si>
  <si>
    <t>2016-MAR-29 - Date of Maturity "Redemption Date"</t>
  </si>
  <si>
    <t>4B02-08-60525-P - State Registration</t>
  </si>
  <si>
    <t>RU000A0JTT21 - ISIN Codes</t>
  </si>
  <si>
    <r>
      <t xml:space="preserve">2012 / BO-07 Series - </t>
    </r>
    <r>
      <rPr>
        <sz val="8"/>
        <color theme="1" tint="0.499984740745262"/>
        <rFont val="Helvetica Neue"/>
      </rPr>
      <t>3 years / 8.90%</t>
    </r>
  </si>
  <si>
    <t>1,000 ₽  - Nominal Value of Each Security "Face Value"</t>
  </si>
  <si>
    <t>8.90% - Interest Rate (Based on Auction Results)</t>
  </si>
  <si>
    <t>1,092  - Number of Days - Placement to Maturity</t>
  </si>
  <si>
    <t xml:space="preserve"> 221,900,000 ₽ - Total Yield on each Coupon</t>
  </si>
  <si>
    <t xml:space="preserve"> 44.38 ₽ - Yield per One Bond for each Coupon</t>
  </si>
  <si>
    <t>2011-OCT-08 Date of State Registration</t>
  </si>
  <si>
    <t>2012-SEP-24 Date of Placement</t>
  </si>
  <si>
    <t>2013-MAR-25 Date of 1st Payment</t>
  </si>
  <si>
    <t>2013-SEP-23 Date of 2nd Payment</t>
  </si>
  <si>
    <t>2014-MAR-24 Date of 3rd Payment</t>
  </si>
  <si>
    <t>2014-SEP-22 Date of 4th Payment</t>
  </si>
  <si>
    <t>2015-MAR-23 Date of 5th Payment</t>
  </si>
  <si>
    <t>2015-SEP-21 Date of 6th Payment</t>
  </si>
  <si>
    <t>2015-SEP-21 Date of Maturity "Redemption Date"</t>
  </si>
  <si>
    <t>4B02-07-60525-P - State Registration</t>
  </si>
  <si>
    <t>RU000A0JT171 - ISIN Codes</t>
  </si>
  <si>
    <r>
      <t xml:space="preserve">2011 / BO-06 Series - </t>
    </r>
    <r>
      <rPr>
        <sz val="8"/>
        <color theme="1" tint="0.499984740745262"/>
        <rFont val="Helvetica Neue"/>
      </rPr>
      <t>3 years / 7.75%</t>
    </r>
  </si>
  <si>
    <t>7.75%  - Interest Rate (Based on Auction Results)</t>
  </si>
  <si>
    <t>6  - Number of Coupons</t>
  </si>
  <si>
    <t>193,200,000 ₽  - Total Yield on each Coupon</t>
  </si>
  <si>
    <t xml:space="preserve"> 38.64 ₽ - Yield per One Bond for each Coupon</t>
  </si>
  <si>
    <t>2011-FEB-16 Date of State Registration</t>
  </si>
  <si>
    <t>2011-APR-26 Date of Placement</t>
  </si>
  <si>
    <t>2011-OCT-25 Date of 1st Payment</t>
  </si>
  <si>
    <t>2012-APR-24 Date of 2nd Payment</t>
  </si>
  <si>
    <t>2012-OCT-23 Date of 3rd Payment</t>
  </si>
  <si>
    <t>2013-APR-23 Date of 4th Payment</t>
  </si>
  <si>
    <t>2013-OCT-22 Date of 5th Payment</t>
  </si>
  <si>
    <t>2014-APR-22 Date of 6th Payment</t>
  </si>
  <si>
    <t>2014-APR-22 Date of Maturity "Redemption Date"</t>
  </si>
  <si>
    <t xml:space="preserve">Traded on Stock Market  - Instrument Type </t>
  </si>
  <si>
    <t>4B02-06-60525-P - State Registration</t>
  </si>
  <si>
    <t>RU000A0JRFQ4  - ISIN Codes</t>
  </si>
  <si>
    <r>
      <t xml:space="preserve">2011 / BO-05 Series - </t>
    </r>
    <r>
      <rPr>
        <sz val="8"/>
        <color theme="1" tint="0.499984740745262"/>
        <rFont val="Helvetica Neue"/>
      </rPr>
      <t>3 years / 8.00%</t>
    </r>
  </si>
  <si>
    <t xml:space="preserve"> 1,000 ₽  - Nominal Value of Each Security "Face Value"</t>
  </si>
  <si>
    <t>8.00%  - Interest Rate (Based on Auction Results)</t>
  </si>
  <si>
    <t xml:space="preserve"> 199,450,000 ₽  - Total Yield on each Coupon</t>
  </si>
  <si>
    <t xml:space="preserve"> 39.89 ₽  - Yield per One Bond for each Coupon</t>
  </si>
  <si>
    <t>2011-FEB-16 - Date of State Registration</t>
  </si>
  <si>
    <t>2011-MAR-04 - Date of Placement</t>
  </si>
  <si>
    <t>2011-SEP-02 - Date of 1st Payment</t>
  </si>
  <si>
    <t>2012-MAR-02 - Date of 2nd Payment</t>
  </si>
  <si>
    <t>2012-AUG-31 - Date of 3rd Payment</t>
  </si>
  <si>
    <t>2013-MAR-01 - Date of 4th Payment</t>
  </si>
  <si>
    <t>2013-AUG-30 - Date of 5th Payment</t>
  </si>
  <si>
    <t>2014-FEB-28 - Date of 6th Payment</t>
  </si>
  <si>
    <t>2014-FEB-28 - Date of Maturity "Redemption Date"</t>
  </si>
  <si>
    <t>4B02-05-60525-P - State Registration</t>
  </si>
  <si>
    <t xml:space="preserve"> RU000A0JR9N3  - ISIN Codes</t>
  </si>
  <si>
    <r>
      <t xml:space="preserve">2010 / BO-04 Series - </t>
    </r>
    <r>
      <rPr>
        <sz val="8"/>
        <color theme="1" tint="0.499984740745262"/>
        <rFont val="Helvetica Neue"/>
      </rPr>
      <t>3 years / 8.25%</t>
    </r>
  </si>
  <si>
    <t>2,000,000 - Number of Securities</t>
  </si>
  <si>
    <t>1,000  - Nominal Value of Each Security "Face Value"</t>
  </si>
  <si>
    <t>8.25% - Interest Rate (Based on Auction Results)</t>
  </si>
  <si>
    <t>82,280,000  - Total Yield on each Coupon</t>
  </si>
  <si>
    <t>41.14 - Yield per One Bond for each Coupon</t>
  </si>
  <si>
    <t>2010-FEB-02 Date of State Registration</t>
  </si>
  <si>
    <t>2010-SEP-13 Date of Placement</t>
  </si>
  <si>
    <t>2011-MAR-14 Date of 1st Payment</t>
  </si>
  <si>
    <t>2011-SEP-12 Date of 2nd Payment</t>
  </si>
  <si>
    <t>2012-MAR-12 Date of 3rd Payment</t>
  </si>
  <si>
    <t>2012-SEP-10 Date of 4th Payment</t>
  </si>
  <si>
    <t>2013-MAR-11 Date of 5th Payment</t>
  </si>
  <si>
    <t>2013-SEP-09 Date of 6th Payment</t>
  </si>
  <si>
    <t>2013-SEP-09 Date of Maturity "Redemption Date"</t>
  </si>
  <si>
    <t>4B02-04-60525-P - State Registration</t>
  </si>
  <si>
    <t>RU000A0JR159 - ISIN Codes</t>
  </si>
  <si>
    <r>
      <t xml:space="preserve">2010 / BO-03 Series - </t>
    </r>
    <r>
      <rPr>
        <sz val="8"/>
        <color theme="1" tint="0.499984740745262"/>
        <rFont val="Helvetica Neue"/>
      </rPr>
      <t>3 years / 8.25%</t>
    </r>
  </si>
  <si>
    <t>1,500,000  - Number of Securities</t>
  </si>
  <si>
    <t>61,710,000 - Total Yield on each Coupon</t>
  </si>
  <si>
    <t>2010-FEB-02 - Date of State Registration</t>
  </si>
  <si>
    <t>4B02-03-60525-P - State Registration</t>
  </si>
  <si>
    <t>RU000A0JR142 - ISIN Codes</t>
  </si>
  <si>
    <r>
      <t>2010 / BO-02 Series -</t>
    </r>
    <r>
      <rPr>
        <sz val="8"/>
        <color rgb="FF011893"/>
        <rFont val="Helvetica Neue"/>
      </rPr>
      <t xml:space="preserve"> </t>
    </r>
    <r>
      <rPr>
        <sz val="8"/>
        <color theme="1" tint="0.499984740745262"/>
        <rFont val="Helvetica Neue"/>
      </rPr>
      <t>3 years / 8.25%</t>
    </r>
  </si>
  <si>
    <t>1,000,000 - Number of Securities</t>
  </si>
  <si>
    <t xml:space="preserve"> 1,000 ₽ - Nominal Value of Each Security "Face Value"</t>
  </si>
  <si>
    <t>41,140,000 - Total Yield on each Coupon</t>
  </si>
  <si>
    <t>4B02-02-60525-P State Registration</t>
  </si>
  <si>
    <t>RU000A0JR126 ISIN Codes</t>
  </si>
  <si>
    <r>
      <t>2010 / BO-01 Series -</t>
    </r>
    <r>
      <rPr>
        <sz val="8"/>
        <color rgb="FF011893"/>
        <rFont val="Helvetica Neue"/>
      </rPr>
      <t xml:space="preserve"> </t>
    </r>
    <r>
      <rPr>
        <sz val="8"/>
        <color theme="1" tint="0.499984740745262"/>
        <rFont val="Helvetica Neue"/>
      </rPr>
      <t>3 years / 8.25%</t>
    </r>
  </si>
  <si>
    <t>4B02-01-60525-P - State Registration</t>
  </si>
  <si>
    <t>RU000A0JR118 - ISIN Codes</t>
  </si>
  <si>
    <r>
      <t xml:space="preserve">Total Bonds Outstanding </t>
    </r>
    <r>
      <rPr>
        <b/>
        <sz val="9"/>
        <color theme="1" tint="0.499984740745262"/>
        <rFont val="Helvetica Neue"/>
      </rPr>
      <t>(Rubles)</t>
    </r>
  </si>
  <si>
    <t>Coupon Payments Details</t>
  </si>
  <si>
    <r>
      <t xml:space="preserve">Total Coupon Payments </t>
    </r>
    <r>
      <rPr>
        <b/>
        <sz val="9"/>
        <color theme="1" tint="0.499984740745262"/>
        <rFont val="Helvetica Neue"/>
      </rPr>
      <t>(Rubles)</t>
    </r>
  </si>
  <si>
    <t>Weighted Average Capitalization Rate:</t>
  </si>
  <si>
    <t>Subsidiaries</t>
  </si>
  <si>
    <r>
      <t xml:space="preserve">JSC "Tander"  </t>
    </r>
    <r>
      <rPr>
        <sz val="8"/>
        <color theme="1" tint="0.499984740745262"/>
        <rFont val="Helvetica Neue"/>
      </rPr>
      <t>(Food Retail &amp; Wholesale, Import Operations)</t>
    </r>
  </si>
  <si>
    <r>
      <t xml:space="preserve">LLC "Retail Import" </t>
    </r>
    <r>
      <rPr>
        <sz val="9"/>
        <color theme="1" tint="0.499984740745262"/>
        <rFont val="Helvetica Neue"/>
      </rPr>
      <t xml:space="preserve"> </t>
    </r>
    <r>
      <rPr>
        <sz val="8"/>
        <color theme="1" tint="0.499984740745262"/>
        <rFont val="Helvetica Neue"/>
      </rPr>
      <t>(Import Operations)</t>
    </r>
  </si>
  <si>
    <r>
      <t xml:space="preserve">LLC "BestTorg" </t>
    </r>
    <r>
      <rPr>
        <sz val="8"/>
        <color theme="1" tint="0.499984740745262"/>
        <rFont val="Helvetica Neue"/>
      </rPr>
      <t xml:space="preserve"> (Food Retail in Moscow)</t>
    </r>
  </si>
  <si>
    <r>
      <t xml:space="preserve">LLC "MFK" </t>
    </r>
    <r>
      <rPr>
        <sz val="8"/>
        <color theme="1" tint="0.499984740745262"/>
        <rFont val="Helvetica Neue"/>
      </rPr>
      <t>(Other Activities)</t>
    </r>
  </si>
  <si>
    <r>
      <t xml:space="preserve">LLC "SELTA" </t>
    </r>
    <r>
      <rPr>
        <sz val="8"/>
        <color theme="1" tint="0.499984740745262"/>
        <rFont val="Helvetica Neue"/>
      </rPr>
      <t xml:space="preserve"> (Transportation Services for the Group)</t>
    </r>
  </si>
  <si>
    <r>
      <t xml:space="preserve">LLC "TK Zelenaya Liniya" </t>
    </r>
    <r>
      <rPr>
        <sz val="8"/>
        <color theme="1" tint="0.499984740745262"/>
        <rFont val="Helvetica Neue"/>
      </rPr>
      <t xml:space="preserve"> (Greenhouse Complex)</t>
    </r>
  </si>
  <si>
    <r>
      <t xml:space="preserve">LLC "Tandem"  </t>
    </r>
    <r>
      <rPr>
        <sz val="8"/>
        <color theme="1" tint="0.499984740745262"/>
        <rFont val="Helvetica Neue"/>
      </rPr>
      <t>(Rent Operations)</t>
    </r>
  </si>
  <si>
    <r>
      <t xml:space="preserve">LLC “Alkotrading"  </t>
    </r>
    <r>
      <rPr>
        <sz val="8"/>
        <color theme="1" tint="0.499984740745262"/>
        <rFont val="Helvetica Neue"/>
      </rPr>
      <t>(Other Operations)</t>
    </r>
  </si>
  <si>
    <r>
      <t xml:space="preserve">LLC "Logistika Alternativa"  </t>
    </r>
    <r>
      <rPr>
        <sz val="8"/>
        <color theme="1" tint="0.499984740745262"/>
        <rFont val="Helvetica Neue"/>
      </rPr>
      <t>(Import Operations)</t>
    </r>
  </si>
  <si>
    <r>
      <t xml:space="preserve">LLC "Zvezda"  </t>
    </r>
    <r>
      <rPr>
        <sz val="8"/>
        <color theme="1" tint="0.499984740745262"/>
        <rFont val="Helvetica Neue"/>
      </rPr>
      <t>(Asset Holder, Maintenance Services)</t>
    </r>
  </si>
  <si>
    <r>
      <t xml:space="preserve">LLC "ITM" </t>
    </r>
    <r>
      <rPr>
        <sz val="8"/>
        <color theme="1" tint="0.499984740745262"/>
        <rFont val="Helvetica Neue"/>
      </rPr>
      <t xml:space="preserve"> (IT Operations)</t>
    </r>
  </si>
  <si>
    <r>
      <t xml:space="preserve">LLC "TD Holding" </t>
    </r>
    <r>
      <rPr>
        <sz val="8"/>
        <color theme="1" tint="0.499984740745262"/>
        <rFont val="Helvetica Neue"/>
      </rPr>
      <t xml:space="preserve"> (Production &amp; Processing of Food)</t>
    </r>
  </si>
  <si>
    <r>
      <t xml:space="preserve">LLC "Magnitenergo" </t>
    </r>
    <r>
      <rPr>
        <sz val="8"/>
        <color theme="1" tint="0.499984740745262"/>
        <rFont val="Helvetica Neue"/>
      </rPr>
      <t xml:space="preserve"> (Buyer of Electric Power)</t>
    </r>
  </si>
  <si>
    <r>
      <t>LLC "Management Co Industrial Park Krasnodar"</t>
    </r>
    <r>
      <rPr>
        <sz val="8"/>
        <color theme="1" tint="0.499984740745262"/>
        <rFont val="Helvetica Neue"/>
      </rPr>
      <t xml:space="preserve"> (Production)</t>
    </r>
  </si>
  <si>
    <r>
      <t>LLC "Kuban Confectioner"</t>
    </r>
    <r>
      <rPr>
        <sz val="8"/>
        <color rgb="FF011893"/>
        <rFont val="Helvetica Neue"/>
      </rPr>
      <t xml:space="preserve"> </t>
    </r>
    <r>
      <rPr>
        <sz val="8"/>
        <color theme="1" tint="0.499984740745262"/>
        <rFont val="Helvetica Neue"/>
      </rPr>
      <t>(Food Production)</t>
    </r>
  </si>
  <si>
    <r>
      <t>LLC "Kuban Factor of Bakery Products"</t>
    </r>
    <r>
      <rPr>
        <sz val="8"/>
        <color theme="1" tint="0.499984740745262"/>
        <rFont val="Helvetica Neue"/>
      </rPr>
      <t xml:space="preserve"> (Food Production)</t>
    </r>
  </si>
  <si>
    <r>
      <t xml:space="preserve">LLC "Volshebnaya sveshest" </t>
    </r>
    <r>
      <rPr>
        <sz val="8"/>
        <color theme="0" tint="-0.499984740745262"/>
        <rFont val="Helvetica Neue"/>
        <charset val="204"/>
      </rPr>
      <t>(Production of Household Chemicals for the Group)</t>
    </r>
  </si>
  <si>
    <r>
      <t xml:space="preserve">LLC "Moroznye pripasy" </t>
    </r>
    <r>
      <rPr>
        <sz val="8"/>
        <color theme="0" tint="-0.499984740745262"/>
        <rFont val="Helvetica Neue"/>
        <charset val="204"/>
      </rPr>
      <t>(Production of Food for the Group)</t>
    </r>
  </si>
  <si>
    <r>
      <t xml:space="preserve">LLC "Moskva na Donu" </t>
    </r>
    <r>
      <rPr>
        <sz val="8"/>
        <color theme="0" tint="-0.499984740745262"/>
        <rFont val="Helvetica Neue"/>
        <charset val="204"/>
      </rPr>
      <t>(Production of Agricultural products for the Group)</t>
    </r>
  </si>
  <si>
    <r>
      <t xml:space="preserve">LLC "Magnit Pharma" </t>
    </r>
    <r>
      <rPr>
        <sz val="8"/>
        <color theme="0" tint="-0.499984740745262"/>
        <rFont val="Helvetica Neue"/>
        <charset val="204"/>
      </rPr>
      <t>(Pharmaceutical license holder)</t>
    </r>
  </si>
  <si>
    <r>
      <t>LLC "TH SIA Group"</t>
    </r>
    <r>
      <rPr>
        <sz val="9"/>
        <color theme="0" tint="-0.499984740745262"/>
        <rFont val="Helvetica Neue"/>
        <charset val="204"/>
      </rPr>
      <t xml:space="preserve"> (Pharmaceutical wholesale)</t>
    </r>
  </si>
  <si>
    <r>
      <t>LLC "MF-SIA"</t>
    </r>
    <r>
      <rPr>
        <sz val="9"/>
        <color theme="0" tint="-0.499984740745262"/>
        <rFont val="Helvetica Neue"/>
        <charset val="204"/>
      </rPr>
      <t xml:space="preserve"> (Management activities)</t>
    </r>
  </si>
  <si>
    <r>
      <t>JSC "SIA International Ltd"</t>
    </r>
    <r>
      <rPr>
        <sz val="9"/>
        <color theme="0" tint="-0.499984740745262"/>
        <rFont val="Helvetica Neue"/>
        <charset val="204"/>
      </rPr>
      <t xml:space="preserve"> (Pharmaceutical wholesale)</t>
    </r>
  </si>
  <si>
    <r>
      <t>CJSC "Rink"</t>
    </r>
    <r>
      <rPr>
        <sz val="9"/>
        <color theme="0" tint="-0.499984740745262"/>
        <rFont val="Helvetica Neue"/>
        <charset val="204"/>
      </rPr>
      <t xml:space="preserve"> (Production of medical devices)</t>
    </r>
  </si>
  <si>
    <r>
      <t>LLC "MC SIA Group"</t>
    </r>
    <r>
      <rPr>
        <sz val="9"/>
        <color theme="0" tint="-0.499984740745262"/>
        <rFont val="Helvetica Neue"/>
        <charset val="204"/>
      </rPr>
      <t xml:space="preserve"> (Management activities)</t>
    </r>
  </si>
  <si>
    <r>
      <t>CJSC "SIA International – Krasnodar"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</si>
  <si>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Arkhangelsk"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</si>
  <si>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Astrakhan"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</si>
  <si>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Barnaul"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</si>
  <si>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Belgorod"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</si>
  <si>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Blagoveshchensk"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</si>
  <si>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Velikiy Novgorod"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</si>
  <si>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Vladivostok"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</si>
  <si>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Penza"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</si>
  <si>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Tambov"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</si>
  <si>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Omsk"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</si>
  <si>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Vladimir"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</si>
  <si>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Volgograd"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</si>
  <si>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Voronezh"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</si>
  <si>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Ekaterinburg"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</si>
  <si>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Irkutsk"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</si>
  <si>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Kazan"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</si>
  <si>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Kamchatka"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</si>
  <si>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Kemerovo"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</si>
  <si>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Kirov"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</si>
  <si>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Krasnoyarsk"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</si>
  <si>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Murmansk"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</si>
  <si>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Nizhniy Novgorod"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</si>
  <si>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Novosibirsk"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</si>
  <si>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Orenburg"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</si>
  <si>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Perm"</t>
    </r>
    <r>
      <rPr>
        <sz val="9"/>
        <color theme="0" tint="-0.499984740745262"/>
        <rFont val="Helvetica Neue"/>
        <charset val="204"/>
      </rPr>
      <t xml:space="preserve"> (Commission trade of medicines and medical)</t>
    </r>
  </si>
  <si>
    <r>
      <t>LLC "SIA International – Rostov-on-Don"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</si>
  <si>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Samara"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</si>
  <si>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Saint Petersburg"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</si>
  <si>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Saratov"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</si>
  <si>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Smolensk"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</si>
  <si>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Stavropol"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</si>
  <si>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Tula"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</si>
  <si>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Tyumen"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</si>
  <si>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Ufa"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</si>
  <si>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Khabarovsk"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</si>
  <si>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Chelyabinsk"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</si>
  <si>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Chernozemie"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</si>
  <si>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Yuzhno-Sakhalinsk"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</si>
  <si>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r>
      <t>LLC "SIA International – Yaroslavl"</t>
    </r>
    <r>
      <rPr>
        <sz val="9"/>
        <color theme="0" tint="-0.499984740745262"/>
        <rFont val="Helvetica Neue"/>
        <charset val="204"/>
      </rPr>
      <t xml:space="preserve"> (Commission trade of medicines and medical products)</t>
    </r>
  </si>
  <si>
    <t>Divested Subsidiaries:</t>
  </si>
  <si>
    <r>
      <t xml:space="preserve">LLC "Tander-Magnit"  </t>
    </r>
    <r>
      <rPr>
        <sz val="8"/>
        <color theme="1" tint="0.499984740745262"/>
        <rFont val="Helvetica Neue"/>
      </rPr>
      <t>(Food Retail in Moscow Region)</t>
    </r>
  </si>
  <si>
    <r>
      <t xml:space="preserve">LLC "Magnit Finance" </t>
    </r>
    <r>
      <rPr>
        <sz val="8"/>
        <color theme="1" tint="0.499984740745262"/>
        <rFont val="Helvetica Neue"/>
      </rPr>
      <t xml:space="preserve"> (Issuer of the Group’s Bonds)</t>
    </r>
  </si>
  <si>
    <r>
      <t xml:space="preserve">LLC "Project M”  </t>
    </r>
    <r>
      <rPr>
        <sz val="8"/>
        <color theme="1" tint="0.499984740745262"/>
        <rFont val="Helvetica Neue"/>
      </rPr>
      <t>(Food Retail in St. Petersburg)</t>
    </r>
  </si>
  <si>
    <r>
      <t xml:space="preserve">LLC "Magnit Nizhniy Novgorod" </t>
    </r>
    <r>
      <rPr>
        <sz val="8"/>
        <color theme="1" tint="0.499984740745262"/>
        <rFont val="Helvetica Neue"/>
      </rPr>
      <t xml:space="preserve"> (Holding Co. Tandem)</t>
    </r>
  </si>
  <si>
    <r>
      <t xml:space="preserve">LLC "Vals" </t>
    </r>
    <r>
      <rPr>
        <sz val="8"/>
        <color theme="1" tint="0.499984740745262"/>
        <rFont val="Helvetica Neue"/>
      </rPr>
      <t xml:space="preserve"> (Food Retail in Nizhniy Novgorod)</t>
    </r>
  </si>
  <si>
    <r>
      <t xml:space="preserve">LLC "UK Premier Liga" </t>
    </r>
    <r>
      <rPr>
        <sz val="8"/>
        <color theme="1" tint="0.499984740745262"/>
        <rFont val="Helvetica Neue"/>
      </rPr>
      <t xml:space="preserve"> (Employee Pension Fund)</t>
    </r>
  </si>
  <si>
    <t>Macro Economic</t>
  </si>
  <si>
    <r>
      <t xml:space="preserve">RUB/USD Exchange Rate </t>
    </r>
    <r>
      <rPr>
        <sz val="8"/>
        <color rgb="FF011893"/>
        <rFont val="Helvetica Neue"/>
      </rPr>
      <t>(eop)</t>
    </r>
  </si>
  <si>
    <r>
      <t xml:space="preserve">RUB/USD Exchange Rate </t>
    </r>
    <r>
      <rPr>
        <sz val="8"/>
        <color rgb="FF011893"/>
        <rFont val="Helvetica Neue"/>
      </rPr>
      <t>(avg)</t>
    </r>
  </si>
  <si>
    <r>
      <t>Food Inflation</t>
    </r>
    <r>
      <rPr>
        <sz val="8"/>
        <color rgb="FF011893"/>
        <rFont val="Helvetica Neue"/>
      </rPr>
      <t xml:space="preserve"> </t>
    </r>
    <r>
      <rPr>
        <sz val="8"/>
        <color theme="1" tint="0.499984740745262"/>
        <rFont val="Helvetica Neue"/>
      </rPr>
      <t>(eop YoY)</t>
    </r>
  </si>
  <si>
    <r>
      <t>Consumer Price Index</t>
    </r>
    <r>
      <rPr>
        <sz val="8"/>
        <color rgb="FF011893"/>
        <rFont val="Helvetica Neue"/>
      </rPr>
      <t xml:space="preserve"> </t>
    </r>
    <r>
      <rPr>
        <sz val="8"/>
        <color theme="1" tint="0.499984740745262"/>
        <rFont val="Helvetica Neue"/>
      </rPr>
      <t>(eop YoY)</t>
    </r>
  </si>
  <si>
    <r>
      <t xml:space="preserve">Central Bank of Russia - Policy Rate </t>
    </r>
    <r>
      <rPr>
        <sz val="8"/>
        <color theme="1" tint="0.499984740745262"/>
        <rFont val="Helvetica Neue"/>
      </rPr>
      <t>(eop)</t>
    </r>
  </si>
  <si>
    <r>
      <t xml:space="preserve">ММ / Convenience Stores - </t>
    </r>
    <r>
      <rPr>
        <b/>
        <sz val="11"/>
        <color theme="0" tint="-0.14999847407452621"/>
        <rFont val="Helvetica Neue"/>
      </rPr>
      <t>Operational</t>
    </r>
  </si>
  <si>
    <t>Ticket - Annual</t>
  </si>
  <si>
    <t>Traffic - Annual</t>
  </si>
  <si>
    <t>Mature Store Base - Annual</t>
  </si>
  <si>
    <r>
      <t xml:space="preserve">4th Quarter </t>
    </r>
    <r>
      <rPr>
        <sz val="9"/>
        <color theme="1" tint="0.499984740745262"/>
        <rFont val="Helvetica Neue"/>
      </rPr>
      <t>LFL Sales</t>
    </r>
  </si>
  <si>
    <t>Ticket - 4th Quarter</t>
  </si>
  <si>
    <t>Traffic - 4th Quarter</t>
  </si>
  <si>
    <t>Mature Store Base - 4th Quarter</t>
  </si>
  <si>
    <r>
      <t xml:space="preserve">3rd Quarter </t>
    </r>
    <r>
      <rPr>
        <sz val="9"/>
        <color theme="1" tint="0.499984740745262"/>
        <rFont val="Helvetica Neue"/>
      </rPr>
      <t>LFL Sales</t>
    </r>
  </si>
  <si>
    <t>Ticket - 3rd Quarter</t>
  </si>
  <si>
    <t>Traffic - 3rd Quarter</t>
  </si>
  <si>
    <t>Mature Store Base - 3rd Quarter</t>
  </si>
  <si>
    <r>
      <t xml:space="preserve">2nd Quarter </t>
    </r>
    <r>
      <rPr>
        <sz val="9"/>
        <color theme="1" tint="0.499984740745262"/>
        <rFont val="Helvetica Neue"/>
      </rPr>
      <t>LFL Sales</t>
    </r>
  </si>
  <si>
    <t>Ticket - 2nd Quarter</t>
  </si>
  <si>
    <t>Traffic - 2nd Quarter</t>
  </si>
  <si>
    <t>Mature Store Base - 2nd Quarter</t>
  </si>
  <si>
    <r>
      <t>1st Quarter</t>
    </r>
    <r>
      <rPr>
        <sz val="9"/>
        <color theme="1" tint="0.499984740745262"/>
        <rFont val="Helvetica Neue"/>
      </rPr>
      <t xml:space="preserve"> LFL Sales</t>
    </r>
  </si>
  <si>
    <t>Ticket - 1st Quarter</t>
  </si>
  <si>
    <t>Traffic - 1st Quarter</t>
  </si>
  <si>
    <t>Mature Store Base - 1st Quarter</t>
  </si>
  <si>
    <r>
      <t xml:space="preserve">Total MM Selling Space </t>
    </r>
    <r>
      <rPr>
        <sz val="8"/>
        <color theme="1" tint="0.499984740745262"/>
        <rFont val="Helvetica Neue"/>
      </rPr>
      <t>Square Meters</t>
    </r>
    <r>
      <rPr>
        <sz val="9"/>
        <color theme="1" tint="0.499984740745262"/>
        <rFont val="Helvetica Neue"/>
      </rPr>
      <t xml:space="preserve"> (BOP)</t>
    </r>
  </si>
  <si>
    <r>
      <t>1st Quarter</t>
    </r>
    <r>
      <rPr>
        <sz val="8"/>
        <color rgb="FF011893"/>
        <rFont val="Helvetica Neue"/>
      </rPr>
      <t xml:space="preserve"> </t>
    </r>
    <r>
      <rPr>
        <sz val="8"/>
        <color theme="1" tint="0.499984740745262"/>
        <rFont val="Helvetica Neue"/>
      </rPr>
      <t>new sqm added</t>
    </r>
  </si>
  <si>
    <r>
      <t xml:space="preserve">2nd Quarter </t>
    </r>
    <r>
      <rPr>
        <sz val="8"/>
        <color theme="1" tint="0.499984740745262"/>
        <rFont val="Helvetica Neue"/>
      </rPr>
      <t>new sqm added</t>
    </r>
  </si>
  <si>
    <r>
      <t xml:space="preserve">3rd Quarter </t>
    </r>
    <r>
      <rPr>
        <sz val="8"/>
        <color theme="1" tint="0.499984740745262"/>
        <rFont val="Helvetica Neue"/>
      </rPr>
      <t>new sqm added</t>
    </r>
  </si>
  <si>
    <r>
      <t xml:space="preserve">4th Quarter </t>
    </r>
    <r>
      <rPr>
        <sz val="8"/>
        <color theme="1" tint="0.499984740745262"/>
        <rFont val="Helvetica Neue"/>
      </rPr>
      <t>new sqm added</t>
    </r>
  </si>
  <si>
    <r>
      <t xml:space="preserve">New Selling Space Opened </t>
    </r>
    <r>
      <rPr>
        <sz val="8"/>
        <color theme="1" tint="0.499984740745262"/>
        <rFont val="Helvetica Neue"/>
      </rPr>
      <t>Square Meters</t>
    </r>
  </si>
  <si>
    <r>
      <t xml:space="preserve">Total MM Selling Space </t>
    </r>
    <r>
      <rPr>
        <sz val="8"/>
        <color theme="1" tint="0.499984740745262"/>
        <rFont val="Helvetica Neue"/>
      </rPr>
      <t>Square Meters</t>
    </r>
    <r>
      <rPr>
        <sz val="9"/>
        <color theme="1" tint="0.499984740745262"/>
        <rFont val="Helvetica Neue"/>
      </rPr>
      <t xml:space="preserve"> (EOP)</t>
    </r>
  </si>
  <si>
    <t>Annual Growth Rate</t>
  </si>
  <si>
    <t>Percent of Magnit Total Selling Space</t>
  </si>
  <si>
    <t>Percent of Magnit New Selling Space</t>
  </si>
  <si>
    <t>Total MM Retail Revenues</t>
  </si>
  <si>
    <r>
      <t xml:space="preserve">1st Quarter </t>
    </r>
    <r>
      <rPr>
        <sz val="8"/>
        <color rgb="FF011893"/>
        <rFont val="Helvetica Neue"/>
      </rPr>
      <t>Growth Rate</t>
    </r>
  </si>
  <si>
    <r>
      <t xml:space="preserve">2nd Quarter </t>
    </r>
    <r>
      <rPr>
        <sz val="8"/>
        <color rgb="FF011893"/>
        <rFont val="Helvetica Neue"/>
      </rPr>
      <t>Growth Rate</t>
    </r>
  </si>
  <si>
    <r>
      <t xml:space="preserve">3rd Quarter </t>
    </r>
    <r>
      <rPr>
        <sz val="8"/>
        <color rgb="FF011893"/>
        <rFont val="Helvetica Neue"/>
      </rPr>
      <t>Growth Rate</t>
    </r>
  </si>
  <si>
    <r>
      <t xml:space="preserve">4th Quarter </t>
    </r>
    <r>
      <rPr>
        <sz val="8"/>
        <color rgb="FF011893"/>
        <rFont val="Helvetica Neue"/>
      </rPr>
      <t>Growth Rate</t>
    </r>
  </si>
  <si>
    <r>
      <t xml:space="preserve">Implied LFL </t>
    </r>
    <r>
      <rPr>
        <sz val="8"/>
        <color theme="1" tint="0.499984740745262"/>
        <rFont val="Helvetica Neue"/>
      </rPr>
      <t>Sales Growth Rate minus Space Growth Rate</t>
    </r>
  </si>
  <si>
    <t>Percent of Magnit Total Revenues</t>
  </si>
  <si>
    <r>
      <t>Sales Density</t>
    </r>
    <r>
      <rPr>
        <i/>
        <sz val="8"/>
        <color theme="1"/>
        <rFont val="Helvetica Neue"/>
      </rPr>
      <t xml:space="preserve"> </t>
    </r>
    <r>
      <rPr>
        <i/>
        <sz val="8"/>
        <color theme="1" tint="0.499984740745262"/>
        <rFont val="Helvetica Neue"/>
      </rPr>
      <t>Revenues per Square Meter per Day</t>
    </r>
  </si>
  <si>
    <r>
      <t>Total MM Stores</t>
    </r>
    <r>
      <rPr>
        <sz val="9"/>
        <color theme="1"/>
        <rFont val="Helvetica Neue"/>
      </rPr>
      <t xml:space="preserve"> </t>
    </r>
    <r>
      <rPr>
        <sz val="9"/>
        <color theme="1" tint="0.499984740745262"/>
        <rFont val="Helvetica Neue"/>
      </rPr>
      <t>(Beginning-of-Period)</t>
    </r>
  </si>
  <si>
    <t>Net Openings in 1st Quarter</t>
  </si>
  <si>
    <t>Net Openings in 2nd Quarter</t>
  </si>
  <si>
    <t>Net Openings in 3rd Quarter</t>
  </si>
  <si>
    <t>Net Openings in 4th Quarter</t>
  </si>
  <si>
    <t>Net New Stores Opened</t>
  </si>
  <si>
    <r>
      <t>Total MM Stores</t>
    </r>
    <r>
      <rPr>
        <sz val="9"/>
        <color theme="1" tint="0.499984740745262"/>
        <rFont val="Helvetica Neue"/>
      </rPr>
      <t xml:space="preserve"> (End-of-Period)</t>
    </r>
  </si>
  <si>
    <t>New Stores Opened (Gross)</t>
  </si>
  <si>
    <t>Stores Closed</t>
  </si>
  <si>
    <t>Selling Space (average sqm per store)</t>
  </si>
  <si>
    <r>
      <t>Gross Floor Area</t>
    </r>
    <r>
      <rPr>
        <i/>
        <sz val="9"/>
        <color theme="1" tint="0.499984740745262"/>
        <rFont val="Helvetica Neue"/>
      </rPr>
      <t xml:space="preserve"> (average sqm per store)</t>
    </r>
  </si>
  <si>
    <t>Ratio of Selling Space to Gross Floor Area</t>
  </si>
  <si>
    <t xml:space="preserve">Leased Stores </t>
  </si>
  <si>
    <t>Owned Stores</t>
  </si>
  <si>
    <r>
      <t xml:space="preserve">Mature Stores </t>
    </r>
    <r>
      <rPr>
        <i/>
        <sz val="9"/>
        <color theme="1" tint="0.499984740745262"/>
        <rFont val="Helvetica Neue"/>
      </rPr>
      <t>(open more than 12 months)</t>
    </r>
  </si>
  <si>
    <r>
      <t xml:space="preserve">Immature Stores </t>
    </r>
    <r>
      <rPr>
        <i/>
        <sz val="9"/>
        <color theme="1" tint="0.499984740745262"/>
        <rFont val="Helvetica Neue"/>
      </rPr>
      <t>(open less than 12 months)</t>
    </r>
  </si>
  <si>
    <r>
      <t>Total "Redesigned" New MM Stores</t>
    </r>
    <r>
      <rPr>
        <sz val="9"/>
        <color theme="1"/>
        <rFont val="Helvetica Neue"/>
      </rPr>
      <t xml:space="preserve"> </t>
    </r>
    <r>
      <rPr>
        <sz val="9"/>
        <color theme="1" tint="0.499984740745262"/>
        <rFont val="Helvetica Neue"/>
      </rPr>
      <t>(BOP)</t>
    </r>
  </si>
  <si>
    <t>New "Redesigned" New MM Stores Opened</t>
  </si>
  <si>
    <r>
      <t>Total "Redesigned" New MM Stores</t>
    </r>
    <r>
      <rPr>
        <sz val="9"/>
        <color theme="1" tint="0.499984740745262"/>
        <rFont val="Helvetica Neue"/>
      </rPr>
      <t xml:space="preserve"> (EOP)</t>
    </r>
  </si>
  <si>
    <r>
      <t>Total "Refurbished" Old MM Stores</t>
    </r>
    <r>
      <rPr>
        <sz val="9"/>
        <color theme="1"/>
        <rFont val="Helvetica Neue"/>
      </rPr>
      <t xml:space="preserve"> </t>
    </r>
    <r>
      <rPr>
        <sz val="9"/>
        <color theme="1" tint="0.499984740745262"/>
        <rFont val="Helvetica Neue"/>
      </rPr>
      <t>(BOP)</t>
    </r>
  </si>
  <si>
    <t>New "Refurbished" Old MM Stores Opened</t>
  </si>
  <si>
    <r>
      <t>Total "Refurbished" Old MM Stores</t>
    </r>
    <r>
      <rPr>
        <sz val="9"/>
        <color theme="1" tint="0.499984740745262"/>
        <rFont val="Helvetica Neue"/>
      </rPr>
      <t xml:space="preserve"> (EOP)</t>
    </r>
  </si>
  <si>
    <r>
      <t xml:space="preserve">Total "Refreshed" MM Stores  </t>
    </r>
    <r>
      <rPr>
        <b/>
        <sz val="8"/>
        <color theme="1" tint="0.499984740745262"/>
        <rFont val="Helvetica Neue"/>
      </rPr>
      <t>(Redesigned + Refurbished)</t>
    </r>
  </si>
  <si>
    <t>Percent of Total MM Store Base</t>
  </si>
  <si>
    <t xml:space="preserve">MM Stores in Moscow </t>
  </si>
  <si>
    <t xml:space="preserve">MM Stores in St. Petersburg </t>
  </si>
  <si>
    <r>
      <t>MM Stores in Cities w. 1M+</t>
    </r>
    <r>
      <rPr>
        <sz val="10"/>
        <color theme="0" tint="-0.499984740745262"/>
        <rFont val="Helvetica Neue"/>
        <charset val="204"/>
      </rPr>
      <t xml:space="preserve"> (12 cities)</t>
    </r>
  </si>
  <si>
    <r>
      <t>MM Stores in Cities w. 500K-1M</t>
    </r>
    <r>
      <rPr>
        <sz val="10"/>
        <color theme="0" tint="-0.499984740745262"/>
        <rFont val="Helvetica Neue"/>
        <charset val="204"/>
      </rPr>
      <t xml:space="preserve"> (23 cities)</t>
    </r>
  </si>
  <si>
    <r>
      <t>MM Stores in Cities w. 250-500K</t>
    </r>
    <r>
      <rPr>
        <sz val="10"/>
        <color theme="0" tint="-0.499984740745262"/>
        <rFont val="Helvetica Neue"/>
        <charset val="204"/>
      </rPr>
      <t xml:space="preserve"> (36 cities)</t>
    </r>
  </si>
  <si>
    <r>
      <t>MM Stores in Towns w. 100-250K</t>
    </r>
    <r>
      <rPr>
        <sz val="10"/>
        <color theme="0" tint="-0.499984740745262"/>
        <rFont val="Helvetica Neue"/>
        <charset val="204"/>
      </rPr>
      <t xml:space="preserve"> (91 towns)</t>
    </r>
  </si>
  <si>
    <r>
      <t>MM Stores in Towns w. 50-100K</t>
    </r>
    <r>
      <rPr>
        <sz val="10"/>
        <color theme="0" tint="-0.499984740745262"/>
        <rFont val="Helvetica Neue"/>
        <charset val="204"/>
      </rPr>
      <t xml:space="preserve"> (155 towns)</t>
    </r>
  </si>
  <si>
    <r>
      <t>MM Stores in Towns w. 50K or less</t>
    </r>
    <r>
      <rPr>
        <sz val="10"/>
        <color theme="0" tint="-0.499984740745262"/>
        <rFont val="Helvetica Neue"/>
        <charset val="204"/>
      </rPr>
      <t xml:space="preserve"> (1,000+)</t>
    </r>
  </si>
  <si>
    <t>Total Customer Transactions</t>
  </si>
  <si>
    <t>Percent of Magnit Total Transactions</t>
  </si>
  <si>
    <r>
      <t xml:space="preserve">Traffic </t>
    </r>
    <r>
      <rPr>
        <i/>
        <sz val="8"/>
        <color theme="1" tint="0.499984740745262"/>
        <rFont val="Helvetica Neue"/>
      </rPr>
      <t>Transactions per Square Meter per Day</t>
    </r>
  </si>
  <si>
    <r>
      <t>Basket Size</t>
    </r>
    <r>
      <rPr>
        <sz val="9"/>
        <color theme="1" tint="0.499984740745262"/>
        <rFont val="Helvetica Neue"/>
      </rPr>
      <t xml:space="preserve"> </t>
    </r>
    <r>
      <rPr>
        <sz val="8"/>
        <color theme="1" tint="0.499984740745262"/>
        <rFont val="Helvetica Neue"/>
      </rPr>
      <t>Rubles</t>
    </r>
  </si>
  <si>
    <r>
      <t>Average SKUs</t>
    </r>
    <r>
      <rPr>
        <b/>
        <sz val="9"/>
        <color rgb="FF011893"/>
        <rFont val="Helvetica Neue"/>
      </rPr>
      <t xml:space="preserve"> per MM Store</t>
    </r>
  </si>
  <si>
    <r>
      <t>Revenues from Food SKUs</t>
    </r>
    <r>
      <rPr>
        <sz val="9"/>
        <color theme="1" tint="0.499984740745262"/>
        <rFont val="Helvetica Neue"/>
      </rPr>
      <t xml:space="preserve"> %</t>
    </r>
  </si>
  <si>
    <r>
      <t>Revenues from Non-Food SKUs</t>
    </r>
    <r>
      <rPr>
        <sz val="9"/>
        <color theme="1" tint="0.499984740745262"/>
        <rFont val="Helvetica Neue"/>
      </rPr>
      <t xml:space="preserve"> %</t>
    </r>
  </si>
  <si>
    <r>
      <t>Revenues from Private Label SKUs</t>
    </r>
    <r>
      <rPr>
        <sz val="9"/>
        <color theme="1" tint="0.499984740745262"/>
        <rFont val="Helvetica Neue"/>
      </rPr>
      <t xml:space="preserve"> %</t>
    </r>
  </si>
  <si>
    <r>
      <t xml:space="preserve">МС /Supermarkets - </t>
    </r>
    <r>
      <rPr>
        <b/>
        <sz val="11"/>
        <color theme="0" tint="-0.14999847407452621"/>
        <rFont val="Helvetica Neue"/>
      </rPr>
      <t>Operational</t>
    </r>
  </si>
  <si>
    <r>
      <t>3rd Quarter</t>
    </r>
    <r>
      <rPr>
        <sz val="9"/>
        <color theme="1" tint="0.499984740745262"/>
        <rFont val="Helvetica Neue"/>
      </rPr>
      <t xml:space="preserve"> LFL Sales</t>
    </r>
  </si>
  <si>
    <r>
      <t xml:space="preserve">1st Quarter </t>
    </r>
    <r>
      <rPr>
        <sz val="9"/>
        <color theme="1" tint="0.499984740745262"/>
        <rFont val="Helvetica Neue"/>
      </rPr>
      <t>LFL Sales</t>
    </r>
  </si>
  <si>
    <r>
      <t xml:space="preserve">Total MS Selling Space </t>
    </r>
    <r>
      <rPr>
        <sz val="8"/>
        <color theme="1" tint="0.499984740745262"/>
        <rFont val="Helvetica Neue"/>
      </rPr>
      <t>Square Meters</t>
    </r>
    <r>
      <rPr>
        <sz val="9"/>
        <color theme="1" tint="0.499984740745262"/>
        <rFont val="Helvetica Neue"/>
      </rPr>
      <t xml:space="preserve"> (BOP)</t>
    </r>
  </si>
  <si>
    <r>
      <t>1st Quarter</t>
    </r>
    <r>
      <rPr>
        <sz val="8"/>
        <color rgb="FF011893"/>
        <rFont val="Helvetica Neue"/>
      </rPr>
      <t xml:space="preserve"> new sqm added</t>
    </r>
  </si>
  <si>
    <r>
      <t xml:space="preserve">2nd Quarter </t>
    </r>
    <r>
      <rPr>
        <sz val="8"/>
        <color rgb="FF011893"/>
        <rFont val="Helvetica Neue"/>
      </rPr>
      <t>new sqm added</t>
    </r>
  </si>
  <si>
    <r>
      <t xml:space="preserve">3rd Quarter </t>
    </r>
    <r>
      <rPr>
        <sz val="8"/>
        <color rgb="FF011893"/>
        <rFont val="Helvetica Neue"/>
      </rPr>
      <t>new sqm added</t>
    </r>
  </si>
  <si>
    <r>
      <t xml:space="preserve">4th Quarter </t>
    </r>
    <r>
      <rPr>
        <sz val="8"/>
        <color rgb="FF011893"/>
        <rFont val="Helvetica Neue"/>
      </rPr>
      <t>new sqm added</t>
    </r>
  </si>
  <si>
    <r>
      <t xml:space="preserve">Total MS Selling Space </t>
    </r>
    <r>
      <rPr>
        <sz val="8"/>
        <color theme="1" tint="0.499984740745262"/>
        <rFont val="Helvetica Neue"/>
      </rPr>
      <t>Square Meters</t>
    </r>
    <r>
      <rPr>
        <sz val="9"/>
        <color theme="1" tint="0.499984740745262"/>
        <rFont val="Helvetica Neue"/>
      </rPr>
      <t xml:space="preserve"> (EOP)</t>
    </r>
  </si>
  <si>
    <t>Total MS Retail Revenues</t>
  </si>
  <si>
    <t>1st Quarter Growth Rate</t>
  </si>
  <si>
    <t>2nd Quarter Growth Rate</t>
  </si>
  <si>
    <t>3rd Quarter Growth Rate</t>
  </si>
  <si>
    <t>4th Quarter Growth Rate</t>
  </si>
  <si>
    <r>
      <t>Total MS Stores</t>
    </r>
    <r>
      <rPr>
        <sz val="9"/>
        <color theme="1"/>
        <rFont val="Helvetica Neue"/>
      </rPr>
      <t xml:space="preserve"> </t>
    </r>
    <r>
      <rPr>
        <sz val="9"/>
        <color theme="1" tint="0.499984740745262"/>
        <rFont val="Helvetica Neue"/>
      </rPr>
      <t>(Beginning-of-Period)</t>
    </r>
  </si>
  <si>
    <r>
      <t>Total MS Stores</t>
    </r>
    <r>
      <rPr>
        <sz val="9"/>
        <color theme="1" tint="0.499984740745262"/>
        <rFont val="Helvetica Neue"/>
      </rPr>
      <t xml:space="preserve"> (End-of-Period)</t>
    </r>
  </si>
  <si>
    <t>Gross Floor Area (average sqm per store)</t>
  </si>
  <si>
    <t>Mature Stores (open more than 12 months)</t>
  </si>
  <si>
    <t>Immature Stores (open less than 12 months)</t>
  </si>
  <si>
    <t xml:space="preserve">MS Stores in Moscow </t>
  </si>
  <si>
    <t xml:space="preserve">MS Stores in St. Petersburg </t>
  </si>
  <si>
    <r>
      <t>MS Stores in Cities w. 1M+</t>
    </r>
    <r>
      <rPr>
        <sz val="10"/>
        <color theme="0" tint="-0.499984740745262"/>
        <rFont val="Helvetica Neue"/>
        <charset val="204"/>
      </rPr>
      <t xml:space="preserve"> (12 cities)</t>
    </r>
  </si>
  <si>
    <r>
      <t>MS Stores in Cities w. 500K-1M</t>
    </r>
    <r>
      <rPr>
        <sz val="10"/>
        <color theme="0" tint="-0.499984740745262"/>
        <rFont val="Helvetica Neue"/>
        <charset val="204"/>
      </rPr>
      <t xml:space="preserve"> (23 cities)</t>
    </r>
  </si>
  <si>
    <r>
      <t>MS Stores in Cities w. 250-500K</t>
    </r>
    <r>
      <rPr>
        <sz val="10"/>
        <color theme="0" tint="-0.499984740745262"/>
        <rFont val="Helvetica Neue"/>
        <charset val="204"/>
      </rPr>
      <t xml:space="preserve"> (36 cities)</t>
    </r>
  </si>
  <si>
    <r>
      <t>MS Stores in Towns w. 100-250K</t>
    </r>
    <r>
      <rPr>
        <sz val="10"/>
        <color theme="0" tint="-0.499984740745262"/>
        <rFont val="Helvetica Neue"/>
        <charset val="204"/>
      </rPr>
      <t xml:space="preserve"> (91 towns)</t>
    </r>
  </si>
  <si>
    <r>
      <t>MS Stores in Towns w. 50-100K</t>
    </r>
    <r>
      <rPr>
        <sz val="10"/>
        <color theme="0" tint="-0.499984740745262"/>
        <rFont val="Helvetica Neue"/>
        <charset val="204"/>
      </rPr>
      <t xml:space="preserve"> (155 towns)</t>
    </r>
  </si>
  <si>
    <r>
      <t>MS Stores in Towns w. 50K or less</t>
    </r>
    <r>
      <rPr>
        <sz val="10"/>
        <color theme="0" tint="-0.499984740745262"/>
        <rFont val="Helvetica Neue"/>
        <charset val="204"/>
      </rPr>
      <t xml:space="preserve"> (1,000+)</t>
    </r>
  </si>
  <si>
    <t>Total Customers Served</t>
  </si>
  <si>
    <r>
      <t>Average SKUs</t>
    </r>
    <r>
      <rPr>
        <b/>
        <sz val="9"/>
        <color rgb="FF011893"/>
        <rFont val="Helvetica Neue"/>
      </rPr>
      <t xml:space="preserve"> per MS Store</t>
    </r>
  </si>
  <si>
    <t>Revenues from Food SKUs %</t>
  </si>
  <si>
    <t>Revenues from Non-Food SKUs %</t>
  </si>
  <si>
    <t>Revenues from Private Label SKUs %</t>
  </si>
  <si>
    <r>
      <t xml:space="preserve">МК / Cosmetics Stores - </t>
    </r>
    <r>
      <rPr>
        <b/>
        <sz val="11"/>
        <color theme="0" tint="-0.14999847407452621"/>
        <rFont val="Helvetica Neue"/>
      </rPr>
      <t>Operational</t>
    </r>
  </si>
  <si>
    <r>
      <t xml:space="preserve">Total MK Selling Space </t>
    </r>
    <r>
      <rPr>
        <sz val="8"/>
        <rFont val="Helvetica Neue"/>
      </rPr>
      <t>Square Meters</t>
    </r>
    <r>
      <rPr>
        <sz val="9"/>
        <rFont val="Helvetica Neue"/>
      </rPr>
      <t xml:space="preserve"> (BOP)</t>
    </r>
  </si>
  <si>
    <t>1st Quarter new sqm added</t>
  </si>
  <si>
    <t>2nd Quarter new sqm added</t>
  </si>
  <si>
    <t>3rd Quarter new sqm added</t>
  </si>
  <si>
    <t>4th Quarter new sqm added</t>
  </si>
  <si>
    <r>
      <t xml:space="preserve">New Selling Space Opened </t>
    </r>
    <r>
      <rPr>
        <sz val="8"/>
        <rFont val="Helvetica Neue"/>
      </rPr>
      <t>Square Meters</t>
    </r>
  </si>
  <si>
    <r>
      <t xml:space="preserve">Total MK Selling Space </t>
    </r>
    <r>
      <rPr>
        <sz val="8"/>
        <rFont val="Helvetica Neue"/>
      </rPr>
      <t>Square Meters</t>
    </r>
    <r>
      <rPr>
        <sz val="9"/>
        <rFont val="Helvetica Neue"/>
      </rPr>
      <t xml:space="preserve"> (EOP)</t>
    </r>
  </si>
  <si>
    <t>Total MK Retail Revenues</t>
  </si>
  <si>
    <r>
      <t>Total MK Stores</t>
    </r>
    <r>
      <rPr>
        <sz val="9"/>
        <color theme="1"/>
        <rFont val="Helvetica Neue"/>
      </rPr>
      <t xml:space="preserve"> </t>
    </r>
    <r>
      <rPr>
        <sz val="9"/>
        <color theme="1" tint="0.499984740745262"/>
        <rFont val="Helvetica Neue"/>
      </rPr>
      <t>(Beginning-of-Period)</t>
    </r>
  </si>
  <si>
    <r>
      <t>Total MK Stores</t>
    </r>
    <r>
      <rPr>
        <sz val="9"/>
        <color theme="1" tint="0.499984740745262"/>
        <rFont val="Helvetica Neue"/>
      </rPr>
      <t xml:space="preserve"> (End-of-Period)</t>
    </r>
  </si>
  <si>
    <t xml:space="preserve">MK Stores in Moscow </t>
  </si>
  <si>
    <t xml:space="preserve">MK Stores in St. Petersburg </t>
  </si>
  <si>
    <r>
      <t>MK Stores in Cities w. 1M+</t>
    </r>
    <r>
      <rPr>
        <sz val="10"/>
        <color theme="0" tint="-0.499984740745262"/>
        <rFont val="Helvetica Neue"/>
        <charset val="204"/>
      </rPr>
      <t xml:space="preserve"> (12 cities)</t>
    </r>
  </si>
  <si>
    <r>
      <t>MK Stores in Cities w. 500K-1M</t>
    </r>
    <r>
      <rPr>
        <sz val="10"/>
        <color theme="0" tint="-0.499984740745262"/>
        <rFont val="Helvetica Neue"/>
        <charset val="204"/>
      </rPr>
      <t xml:space="preserve"> (23 cities)</t>
    </r>
  </si>
  <si>
    <r>
      <t>MK Stores in Cities w. 250-500K</t>
    </r>
    <r>
      <rPr>
        <sz val="10"/>
        <color theme="0" tint="-0.499984740745262"/>
        <rFont val="Helvetica Neue"/>
        <charset val="204"/>
      </rPr>
      <t xml:space="preserve"> (36 cities)</t>
    </r>
  </si>
  <si>
    <r>
      <t>MK Stores in Towns w. 100-250K</t>
    </r>
    <r>
      <rPr>
        <sz val="10"/>
        <color theme="0" tint="-0.499984740745262"/>
        <rFont val="Helvetica Neue"/>
        <charset val="204"/>
      </rPr>
      <t xml:space="preserve"> (91 towns)</t>
    </r>
  </si>
  <si>
    <r>
      <t>MK Stores in Towns w. 50-100K</t>
    </r>
    <r>
      <rPr>
        <sz val="10"/>
        <color theme="0" tint="-0.499984740745262"/>
        <rFont val="Helvetica Neue"/>
        <charset val="204"/>
      </rPr>
      <t xml:space="preserve"> (155 towns)</t>
    </r>
  </si>
  <si>
    <r>
      <t>MK Stores in Towns w. 50K or less</t>
    </r>
    <r>
      <rPr>
        <sz val="10"/>
        <color theme="0" tint="-0.499984740745262"/>
        <rFont val="Helvetica Neue"/>
        <charset val="204"/>
      </rPr>
      <t xml:space="preserve"> (1,000+)</t>
    </r>
  </si>
  <si>
    <r>
      <t>Average SKUs</t>
    </r>
    <r>
      <rPr>
        <b/>
        <sz val="9"/>
        <color rgb="FF011893"/>
        <rFont val="Helvetica Neue"/>
      </rPr>
      <t xml:space="preserve"> per MK Store</t>
    </r>
  </si>
  <si>
    <r>
      <t xml:space="preserve">Consolidated - </t>
    </r>
    <r>
      <rPr>
        <b/>
        <sz val="11"/>
        <color theme="0" tint="-4.9989318521683403E-2"/>
        <rFont val="Helvetica Neue"/>
      </rPr>
      <t>Operational</t>
    </r>
  </si>
  <si>
    <t>LFL Sales - Annual</t>
  </si>
  <si>
    <t>LFL Ticket - Annual</t>
  </si>
  <si>
    <t>LFL Traffic - Annual</t>
  </si>
  <si>
    <t>LFL Store Base - Annual</t>
  </si>
  <si>
    <t>LFL Sales - 4th Quarter</t>
  </si>
  <si>
    <t>LFL Ticket - 4th Quarter</t>
  </si>
  <si>
    <t>LFL Traffic - 4th Quarter</t>
  </si>
  <si>
    <t>LFL Store Base - 4th Quarter</t>
  </si>
  <si>
    <t>LFL Sales - 3rd Quarter</t>
  </si>
  <si>
    <t>LFL Ticket - 3rd Quarter</t>
  </si>
  <si>
    <t>LFL Traffic - 3rd Quarter</t>
  </si>
  <si>
    <t>LFL Store Base - 3rd Quarter</t>
  </si>
  <si>
    <t>LFL Sales - 2nd Quarter</t>
  </si>
  <si>
    <t>LFL Ticket - 2nd Quarter</t>
  </si>
  <si>
    <t>LFL Traffic - 2nd Quarter</t>
  </si>
  <si>
    <t>LFL Store Base - 2nd Quarter</t>
  </si>
  <si>
    <t>LFL Sales - 1st Quarter</t>
  </si>
  <si>
    <t>LFL Ticket - 1st Quarter</t>
  </si>
  <si>
    <t>LFL Traffic - 1st Quarter</t>
  </si>
  <si>
    <t>LFL Store Base - 1st Quarter</t>
  </si>
  <si>
    <r>
      <t xml:space="preserve">Total Selling Space </t>
    </r>
    <r>
      <rPr>
        <sz val="8"/>
        <color theme="1" tint="0.499984740745262"/>
        <rFont val="Helvetica Neue"/>
      </rPr>
      <t>Square Meters</t>
    </r>
    <r>
      <rPr>
        <sz val="9"/>
        <color theme="1" tint="0.499984740745262"/>
        <rFont val="Helvetica Neue"/>
      </rPr>
      <t xml:space="preserve"> (BOP)</t>
    </r>
  </si>
  <si>
    <r>
      <t>1st Quarter</t>
    </r>
    <r>
      <rPr>
        <sz val="8"/>
        <color theme="1" tint="0.499984740745262"/>
        <rFont val="Helvetica Neue"/>
      </rPr>
      <t xml:space="preserve"> new sqm added</t>
    </r>
  </si>
  <si>
    <r>
      <t xml:space="preserve">Total Selling Space </t>
    </r>
    <r>
      <rPr>
        <sz val="8"/>
        <color theme="1" tint="0.499984740745262"/>
        <rFont val="Helvetica Neue"/>
      </rPr>
      <t>Square Meters</t>
    </r>
    <r>
      <rPr>
        <sz val="9"/>
        <color theme="1" tint="0.499984740745262"/>
        <rFont val="Helvetica Neue"/>
      </rPr>
      <t xml:space="preserve"> (EOP)</t>
    </r>
  </si>
  <si>
    <t>Total Retail Revenues</t>
  </si>
  <si>
    <r>
      <t xml:space="preserve">1st Quarter </t>
    </r>
    <r>
      <rPr>
        <sz val="8"/>
        <color rgb="FFFF2F92"/>
        <rFont val="Helvetica Neue"/>
      </rPr>
      <t>Growth Rate</t>
    </r>
  </si>
  <si>
    <r>
      <t xml:space="preserve">2nd Quarter </t>
    </r>
    <r>
      <rPr>
        <sz val="8"/>
        <color rgb="FFFF2F92"/>
        <rFont val="Helvetica Neue"/>
      </rPr>
      <t>Growth Rate</t>
    </r>
  </si>
  <si>
    <r>
      <t xml:space="preserve">3rd Quarter </t>
    </r>
    <r>
      <rPr>
        <sz val="8"/>
        <color rgb="FFFF2F92"/>
        <rFont val="Helvetica Neue"/>
      </rPr>
      <t>Growth Rate</t>
    </r>
  </si>
  <si>
    <r>
      <t xml:space="preserve">4th Quarter </t>
    </r>
    <r>
      <rPr>
        <sz val="8"/>
        <color rgb="FFFF2F92"/>
        <rFont val="Helvetica Neue"/>
      </rPr>
      <t>Growth Rate</t>
    </r>
  </si>
  <si>
    <t>Revenues from Private Label</t>
  </si>
  <si>
    <t>Revenues from Direct Import</t>
  </si>
  <si>
    <r>
      <t>Total Stores</t>
    </r>
    <r>
      <rPr>
        <sz val="9"/>
        <color theme="1"/>
        <rFont val="Helvetica Neue"/>
      </rPr>
      <t xml:space="preserve"> </t>
    </r>
    <r>
      <rPr>
        <sz val="9"/>
        <color theme="1" tint="0.499984740745262"/>
        <rFont val="Helvetica Neue"/>
      </rPr>
      <t>(Beginning-of-Period)</t>
    </r>
  </si>
  <si>
    <r>
      <t>Total Stores</t>
    </r>
    <r>
      <rPr>
        <b/>
        <sz val="9"/>
        <color theme="1" tint="0.499984740745262"/>
        <rFont val="Helvetica Neue"/>
      </rPr>
      <t xml:space="preserve"> (End-of-Period)</t>
    </r>
  </si>
  <si>
    <r>
      <t>Mature Stores</t>
    </r>
    <r>
      <rPr>
        <i/>
        <sz val="9"/>
        <color theme="1" tint="0.499984740745262"/>
        <rFont val="Helvetica Neue"/>
      </rPr>
      <t xml:space="preserve"> (open more than 12 months)</t>
    </r>
  </si>
  <si>
    <t xml:space="preserve">Stores in Moscow </t>
  </si>
  <si>
    <t xml:space="preserve">Stores in St. Petersburg </t>
  </si>
  <si>
    <r>
      <t>Stores in Cities w. 1M+</t>
    </r>
    <r>
      <rPr>
        <sz val="10"/>
        <color theme="1" tint="0.499984740745262"/>
        <rFont val="Helvetica Neue"/>
      </rPr>
      <t xml:space="preserve"> (12 cities)</t>
    </r>
  </si>
  <si>
    <r>
      <t xml:space="preserve">Stores in Citires w. 500K-1M </t>
    </r>
    <r>
      <rPr>
        <sz val="10"/>
        <color theme="1" tint="0.499984740745262"/>
        <rFont val="Helvetica Neue"/>
      </rPr>
      <t>(23 cities)</t>
    </r>
  </si>
  <si>
    <r>
      <t xml:space="preserve">Stores in Cities w. 250-500K </t>
    </r>
    <r>
      <rPr>
        <sz val="10"/>
        <color theme="1" tint="0.499984740745262"/>
        <rFont val="Helvetica Neue"/>
      </rPr>
      <t>(36 cities)</t>
    </r>
  </si>
  <si>
    <r>
      <t xml:space="preserve">Stores in Towns w. 100-250K </t>
    </r>
    <r>
      <rPr>
        <sz val="10"/>
        <color theme="1" tint="0.499984740745262"/>
        <rFont val="Helvetica Neue"/>
      </rPr>
      <t>(91 towns)</t>
    </r>
  </si>
  <si>
    <r>
      <t>Stores in Towns w. 50-100K</t>
    </r>
    <r>
      <rPr>
        <sz val="10"/>
        <color theme="1" tint="0.499984740745262"/>
        <rFont val="Helvetica Neue"/>
      </rPr>
      <t xml:space="preserve"> (155 towns)</t>
    </r>
  </si>
  <si>
    <r>
      <t>Stores in Towns w. 50K or less</t>
    </r>
    <r>
      <rPr>
        <sz val="10"/>
        <color theme="1" tint="0.499984740745262"/>
        <rFont val="Helvetica Neue"/>
      </rPr>
      <t xml:space="preserve"> (1,000+)</t>
    </r>
  </si>
  <si>
    <t>Total Employees (EOP)</t>
  </si>
  <si>
    <t>Retail Stores</t>
  </si>
  <si>
    <t>Distribution Centers</t>
  </si>
  <si>
    <t>Regional Branches</t>
  </si>
  <si>
    <t>Headquarters</t>
  </si>
  <si>
    <t>Vertical Integration</t>
  </si>
  <si>
    <t>Total Suppliers</t>
  </si>
  <si>
    <r>
      <rPr>
        <sz val="10"/>
        <color rgb="FF011893"/>
        <rFont val="Helvetica Neue"/>
      </rPr>
      <t>Total Distribution Centers</t>
    </r>
    <r>
      <rPr>
        <sz val="9"/>
        <color rgb="FF011893"/>
        <rFont val="Helvetica Neue"/>
      </rPr>
      <t xml:space="preserve"> </t>
    </r>
    <r>
      <rPr>
        <sz val="9"/>
        <color theme="1" tint="0.499984740745262"/>
        <rFont val="Helvetica Neue"/>
      </rPr>
      <t>sq. meters</t>
    </r>
  </si>
  <si>
    <r>
      <t xml:space="preserve">Total Distribution Centers </t>
    </r>
    <r>
      <rPr>
        <sz val="9"/>
        <color theme="1" tint="0.499984740745262"/>
        <rFont val="Helvetica Neue"/>
      </rPr>
      <t>units</t>
    </r>
  </si>
  <si>
    <r>
      <t>New Distribution Centers</t>
    </r>
    <r>
      <rPr>
        <sz val="9"/>
        <color theme="1"/>
        <rFont val="Helvetica Neue"/>
      </rPr>
      <t xml:space="preserve"> </t>
    </r>
    <r>
      <rPr>
        <sz val="9"/>
        <color theme="1" tint="0.499984740745262"/>
        <rFont val="Helvetica Neue"/>
      </rPr>
      <t>units</t>
    </r>
  </si>
  <si>
    <t>Number of Trucks</t>
  </si>
  <si>
    <t>SKU Centralization Rate</t>
  </si>
  <si>
    <r>
      <t>Balance Sheets -</t>
    </r>
    <r>
      <rPr>
        <b/>
        <sz val="10"/>
        <color theme="1"/>
        <rFont val="Helvetica Neue"/>
      </rPr>
      <t xml:space="preserve"> IFRS Audited</t>
    </r>
    <r>
      <rPr>
        <b/>
        <sz val="9"/>
        <color theme="1" tint="0.499984740745262"/>
        <rFont val="Helvetica Neue"/>
      </rPr>
      <t xml:space="preserve"> (Rubles)</t>
    </r>
  </si>
  <si>
    <t>Assets</t>
  </si>
  <si>
    <t>Fixed Assets</t>
  </si>
  <si>
    <t>Property Plant &amp; Equipment</t>
  </si>
  <si>
    <t>Historic Value - bop</t>
  </si>
  <si>
    <t>Business combination</t>
  </si>
  <si>
    <t>Acquisitions</t>
  </si>
  <si>
    <t>Transfer from Land Lease Right</t>
  </si>
  <si>
    <t>Historic Value - eop</t>
  </si>
  <si>
    <t>Accumulated Depreciation &amp; Impairment - bop</t>
  </si>
  <si>
    <t>Accumulated Depreciation &amp; Impairment - eop</t>
  </si>
  <si>
    <t>Net Book Value - bop</t>
  </si>
  <si>
    <t>Increase/(Decrease) in Net Book Value</t>
  </si>
  <si>
    <t>Net Book Value - eop</t>
  </si>
  <si>
    <r>
      <t>Machinery &amp; Equipment</t>
    </r>
    <r>
      <rPr>
        <sz val="10"/>
        <color theme="1"/>
        <rFont val="Helvetica Neue"/>
      </rPr>
      <t xml:space="preserve"> </t>
    </r>
  </si>
  <si>
    <r>
      <t>Other Assets</t>
    </r>
    <r>
      <rPr>
        <sz val="10"/>
        <color theme="1"/>
        <rFont val="Helvetica Neue"/>
      </rPr>
      <t xml:space="preserve"> </t>
    </r>
  </si>
  <si>
    <t>Buildings under Construction</t>
  </si>
  <si>
    <t>Investment Property</t>
  </si>
  <si>
    <t>Land Lease Rights</t>
  </si>
  <si>
    <t>Transfer to PPE</t>
  </si>
  <si>
    <t>Accumulated Amortization &amp; Impairment - bop</t>
  </si>
  <si>
    <t>Notes: Amortization Charge was Capitalized to Cost of PP&amp;E in the amount of:</t>
  </si>
  <si>
    <t>Intangible Assets</t>
  </si>
  <si>
    <t>Lease Rights</t>
  </si>
  <si>
    <t xml:space="preserve">Trademark  </t>
  </si>
  <si>
    <t xml:space="preserve">Other  </t>
  </si>
  <si>
    <t xml:space="preserve">Goodwill  </t>
  </si>
  <si>
    <t>Goodwill Impairment</t>
  </si>
  <si>
    <t>Long-Term Financial Assets</t>
  </si>
  <si>
    <t>Acquired in business combination</t>
  </si>
  <si>
    <t>Total Fixed Assets:</t>
  </si>
  <si>
    <t>Current Assets</t>
  </si>
  <si>
    <t>Inventory</t>
  </si>
  <si>
    <t>Goods for Resale</t>
  </si>
  <si>
    <t>Materials &amp; Supplies</t>
  </si>
  <si>
    <t>Trade &amp; Other Receivables</t>
  </si>
  <si>
    <t>Advances Paid</t>
  </si>
  <si>
    <t>To Third Parties</t>
  </si>
  <si>
    <t>For Customs Duties</t>
  </si>
  <si>
    <t>To Employees</t>
  </si>
  <si>
    <t>To Related Party Suppliers</t>
  </si>
  <si>
    <t>Taxes Receivable</t>
  </si>
  <si>
    <t>Prepaid Expenses</t>
  </si>
  <si>
    <t>Short-Term Financial Assets</t>
  </si>
  <si>
    <t>Income Tax Receivable</t>
  </si>
  <si>
    <t>Cash &amp; Cash Equivalents</t>
  </si>
  <si>
    <t>Petty Cash (RUB)</t>
  </si>
  <si>
    <t>Cash in Banks (RUB)</t>
  </si>
  <si>
    <t>Cash in Banks (Foreign Currency)</t>
  </si>
  <si>
    <t>Cash in Transit (RUB)</t>
  </si>
  <si>
    <t>Cash placed on accounts with minimum account balance</t>
  </si>
  <si>
    <t>Short-Term Deposits</t>
  </si>
  <si>
    <t>Total Current Assets:</t>
  </si>
  <si>
    <t>Total Assets:</t>
  </si>
  <si>
    <t>Liabilities &amp; Equity</t>
  </si>
  <si>
    <t>Long-Term Liabilities</t>
  </si>
  <si>
    <t>Long-Term Borrowings &amp; Loans</t>
  </si>
  <si>
    <t>Bank Loans</t>
  </si>
  <si>
    <t>Bank Loans Unsecured (Maturity in 2020-2025 - 8.57%)</t>
  </si>
  <si>
    <t>Bank Loans Unsecured (Maturity in 2021-2022 - 8.25%)</t>
  </si>
  <si>
    <t>Bank Loans Unsecured (Maturity in 2019 - 8.23%)</t>
  </si>
  <si>
    <t>Bank Loans Unsecured (Maturity in 2018 - 9.70%)</t>
  </si>
  <si>
    <t>Bank Loans Unsecured (Maturity in 2017 - 10.68%)</t>
  </si>
  <si>
    <t>Bank Loans Unsecured (Maturity in 2016 - 7.56%)</t>
  </si>
  <si>
    <t>Sberbank Krasnodar Branch (7.90%)</t>
  </si>
  <si>
    <t>Sberbank Krasnodar Branch (8.13%)</t>
  </si>
  <si>
    <t>Sberbank Krasnodar Branch (7.96%)</t>
  </si>
  <si>
    <t>Sberbank Moscow Branch (7.95%)</t>
  </si>
  <si>
    <t>Sberbank Moscow Branch (8.30%)</t>
  </si>
  <si>
    <t>Sberbank Moscow Branch (7.96%)</t>
  </si>
  <si>
    <t>Alfa-Bank (8.64%)</t>
  </si>
  <si>
    <t>Alfa-Bank (8.09%)</t>
  </si>
  <si>
    <t>Gazprombank (9.15%)</t>
  </si>
  <si>
    <t>Gazprombank (8.00%)</t>
  </si>
  <si>
    <t>Bonds Unsecured (Maturity 2018 - 10.91%)</t>
  </si>
  <si>
    <t>Bonds Unsecured (Maturity 2017 - 11.47%)</t>
  </si>
  <si>
    <t>Bonds Unsecured (Maturity 2016 - 8.45%)</t>
  </si>
  <si>
    <t>Bonds Issued in 2013 April (8.41%)</t>
  </si>
  <si>
    <t>Bonds Issued in 2013 February (8.52%)</t>
  </si>
  <si>
    <t>Bonds Issued in 2012  (8.93%)</t>
  </si>
  <si>
    <t>Bonds Issued in 2012 (8.93%)</t>
  </si>
  <si>
    <t>Bonds Issued in 2011 April (7.77%)</t>
  </si>
  <si>
    <t>Bonds Issued in 2011 March (8.02%)</t>
  </si>
  <si>
    <t>Bonds Issued in 2010 (8.30%)</t>
  </si>
  <si>
    <t>Less: Current Portion of Long-Term Loans</t>
  </si>
  <si>
    <t>Government Grants</t>
  </si>
  <si>
    <t>Short-term</t>
  </si>
  <si>
    <t>Long-term</t>
  </si>
  <si>
    <t>Long-Term Obligation under Finance Leases</t>
  </si>
  <si>
    <t>Long-Term Advances Received</t>
  </si>
  <si>
    <t xml:space="preserve">Deferred Tax Liability  </t>
  </si>
  <si>
    <t>Deferred Tax Assets</t>
  </si>
  <si>
    <t>Accrued Expenses</t>
  </si>
  <si>
    <t>Deferred Tax Liabilities</t>
  </si>
  <si>
    <t>Property Plant &amp; Equipement</t>
  </si>
  <si>
    <t>Current Liabilities</t>
  </si>
  <si>
    <t>Trade &amp; Other Payables</t>
  </si>
  <si>
    <t>Trade Payables to Third Parties</t>
  </si>
  <si>
    <t>Other Payables to Third Parties</t>
  </si>
  <si>
    <t>Trade Payables to Related Parties</t>
  </si>
  <si>
    <t>Other Paybales to Related Parties</t>
  </si>
  <si>
    <t>Accrued Salaries &amp; Wages</t>
  </si>
  <si>
    <t>Other Accrued Expenses</t>
  </si>
  <si>
    <t>Taxes Payable</t>
  </si>
  <si>
    <t>Value Added Tax</t>
  </si>
  <si>
    <t>Social Insurance Contributions</t>
  </si>
  <si>
    <t>Employee Withholding Tax</t>
  </si>
  <si>
    <t>Property Tax</t>
  </si>
  <si>
    <t>Other Taxes</t>
  </si>
  <si>
    <t>Dividends Payable</t>
  </si>
  <si>
    <t>Income Tax Payable</t>
  </si>
  <si>
    <t>Short-Term Advances Received</t>
  </si>
  <si>
    <t>Short-Term Obligation under Finance Leases</t>
  </si>
  <si>
    <t>Short-Term Borrowings &amp; Loans</t>
  </si>
  <si>
    <t>Bonds (Unsecured)</t>
  </si>
  <si>
    <t>Matyring in 2018 w. 10.91% Interest Rate</t>
  </si>
  <si>
    <t>Maturing in 2017 w. 10.98% Interest Rate</t>
  </si>
  <si>
    <t>Maturing in 2016 w. 09.71% Interest Rate</t>
  </si>
  <si>
    <t>Maturing in 2015 w. 08.93% Interest Rate</t>
  </si>
  <si>
    <t>Bank Loans (Unsecured)</t>
  </si>
  <si>
    <t>Loans Maturing in 2019 w. 7.7%</t>
  </si>
  <si>
    <t>Loans Maturing in 2018 w. 7.76%</t>
  </si>
  <si>
    <t>Loans Maturing in 2017 w. 09.58% Interest Rate</t>
  </si>
  <si>
    <t>Loans Maturing in 2016 w. 09.34% Interest Rate</t>
  </si>
  <si>
    <t>Loans Maturing in 2015 w. 12.26% Interest Rate</t>
  </si>
  <si>
    <t>Related Parties Borrowings (Unsecured)</t>
  </si>
  <si>
    <t>Borrowings Maturing in 2018 w. 7.40%</t>
  </si>
  <si>
    <t>Borrowings Maturing in 2017 w. 09.65% Interest Rate</t>
  </si>
  <si>
    <t>Borrowings Maturing in 2016 w. 11.40% Interest Rate</t>
  </si>
  <si>
    <t>Borrowings Maturing in 2015 w. 14.50% Interest Rate</t>
  </si>
  <si>
    <t>Current Portion of Long-Term Borrowings &amp; Loans</t>
  </si>
  <si>
    <t>Total Liabilities:</t>
  </si>
  <si>
    <t>Share Capital</t>
  </si>
  <si>
    <t>Share Premium</t>
  </si>
  <si>
    <t>Sale of Treasury Shares</t>
  </si>
  <si>
    <t>Additional Issue of Shares</t>
  </si>
  <si>
    <t>Sales of Treasury Shares</t>
  </si>
  <si>
    <t>Treasury Shares</t>
  </si>
  <si>
    <t>Share Buyback</t>
  </si>
  <si>
    <t>Retained Earnings</t>
  </si>
  <si>
    <t>Profit for the Period</t>
  </si>
  <si>
    <t>Dividends Declared</t>
  </si>
  <si>
    <t>Non-Controlling Interest</t>
  </si>
  <si>
    <t>Total Equity</t>
  </si>
  <si>
    <t>Total Liabilities &amp; Equity:</t>
  </si>
  <si>
    <r>
      <t xml:space="preserve">Income Statements - </t>
    </r>
    <r>
      <rPr>
        <b/>
        <sz val="10"/>
        <color theme="3" tint="0.39997558519241921"/>
        <rFont val="Helvetica Neue"/>
      </rPr>
      <t>IFRS Audited</t>
    </r>
    <r>
      <rPr>
        <b/>
        <sz val="9"/>
        <color theme="3" tint="0.39997558519241921"/>
        <rFont val="Helvetica Neue"/>
      </rPr>
      <t xml:space="preserve"> </t>
    </r>
    <r>
      <rPr>
        <b/>
        <sz val="9"/>
        <color theme="1" tint="0.499984740745262"/>
        <rFont val="Helvetica Neue"/>
      </rPr>
      <t>(Rubles)</t>
    </r>
  </si>
  <si>
    <t>Wholesale Distribution</t>
  </si>
  <si>
    <t>Cost of Goods Sold (COGS)</t>
  </si>
  <si>
    <t>Payroll Expenses</t>
  </si>
  <si>
    <t>Amoritization of Production Fixed Assets</t>
  </si>
  <si>
    <t>Losses due to Inventory Shortages (i.e. "Shrinkage")</t>
  </si>
  <si>
    <t>Gross Profit:</t>
  </si>
  <si>
    <t>EBITDAR</t>
  </si>
  <si>
    <t>Depreciation (from Cash Flow Statement)</t>
  </si>
  <si>
    <t>Amoritization (from Cash Flow Statement)</t>
  </si>
  <si>
    <t xml:space="preserve">Advertising  </t>
  </si>
  <si>
    <t>Packaging &amp; Raw Materials</t>
  </si>
  <si>
    <t>General &amp; Administrative Expenses</t>
  </si>
  <si>
    <t>Repair &amp; Maintenance</t>
  </si>
  <si>
    <t>Taxes (Other than Income Tax)</t>
  </si>
  <si>
    <t>Bank Services</t>
  </si>
  <si>
    <t>Accrual for Unused Vacation</t>
  </si>
  <si>
    <t>Bad Debt Provision</t>
  </si>
  <si>
    <t>Total SG&amp;A Expenses:</t>
  </si>
  <si>
    <t>Operating Income:</t>
  </si>
  <si>
    <t>EBIT</t>
  </si>
  <si>
    <t>Interest on Loans</t>
  </si>
  <si>
    <t>Interest on Bonds</t>
  </si>
  <si>
    <t>Interest on Financial Leases</t>
  </si>
  <si>
    <t xml:space="preserve">Total Interest Expense for Financial Liabilities </t>
  </si>
  <si>
    <t>Less: Amounts included in Cost of Qualifying Assets</t>
  </si>
  <si>
    <t>Sale of Packing</t>
  </si>
  <si>
    <t>Advertising Income</t>
  </si>
  <si>
    <t>Profit from Sale of Investment Property</t>
  </si>
  <si>
    <t>Profit from Sale of Subsidiary</t>
  </si>
  <si>
    <t>Foreign Exchange (Loss)/Gain</t>
  </si>
  <si>
    <t>Total Other Income / Expenses:</t>
  </si>
  <si>
    <t>Profit Before Income Tax:</t>
  </si>
  <si>
    <t>Current Tax</t>
  </si>
  <si>
    <t>Deferred Tax</t>
  </si>
  <si>
    <t>Net Deferred Tax Assets:</t>
  </si>
  <si>
    <t>Net deferred tax assets</t>
  </si>
  <si>
    <t>Net Deferred Tax Liabilities:</t>
  </si>
  <si>
    <t>Total Income Tax Expenses:</t>
  </si>
  <si>
    <t>Theoretical Income Tax Expense at 20%</t>
  </si>
  <si>
    <t>Adjustements due to:</t>
  </si>
  <si>
    <t>Inventory Shortages not Deductible</t>
  </si>
  <si>
    <t>Other Expenses not Deductible</t>
  </si>
  <si>
    <t>Income Tax Recovery from Revised Tax Returns</t>
  </si>
  <si>
    <t>Actual Income Tax Expense:</t>
  </si>
  <si>
    <t>Net Income:</t>
  </si>
  <si>
    <r>
      <t xml:space="preserve">Cash Flow Statements - </t>
    </r>
    <r>
      <rPr>
        <b/>
        <sz val="10"/>
        <color theme="6" tint="-0.249977111117893"/>
        <rFont val="Helvetica Neue"/>
      </rPr>
      <t>IFRS Audited</t>
    </r>
    <r>
      <rPr>
        <b/>
        <sz val="9"/>
        <color theme="6" tint="-0.249977111117893"/>
        <rFont val="Helvetica Neue"/>
      </rPr>
      <t xml:space="preserve"> </t>
    </r>
    <r>
      <rPr>
        <b/>
        <sz val="9"/>
        <color theme="1" tint="0.499984740745262"/>
        <rFont val="Helvetica Neue"/>
      </rPr>
      <t>(Rubles)</t>
    </r>
  </si>
  <si>
    <t>Cash Flow - Operations Activities</t>
  </si>
  <si>
    <t>Profit Before Income Tax</t>
  </si>
  <si>
    <t>Loss/(Gain) From Disposal of PPE</t>
  </si>
  <si>
    <t>Loss/(Gain) From Disposal of Investment Property</t>
  </si>
  <si>
    <t>Loss/(Gain) From Disposal of Land Lease Rights</t>
  </si>
  <si>
    <t>Revaluation of Investment Property</t>
  </si>
  <si>
    <t>Bad Debt/Reversal of Provision</t>
  </si>
  <si>
    <t>Foreign Exchange - Loss/(Gain)</t>
  </si>
  <si>
    <t>Finance Cost (Interest Expense)</t>
  </si>
  <si>
    <t>Gain from Sale of Subsidiary</t>
  </si>
  <si>
    <t>Operating Cash Flow (Before Working Capital Changes):</t>
  </si>
  <si>
    <t>Trade &amp; Other Receivables - (Increase) / Decrease</t>
  </si>
  <si>
    <t>Advances Paid - (Increase) / Decrease</t>
  </si>
  <si>
    <t>Advances Received - Increase/(Decrease)</t>
  </si>
  <si>
    <t>Taxes Receivable - (Increase)/Decrease</t>
  </si>
  <si>
    <t>Prepaid Expenses - (Increase)/Decrease</t>
  </si>
  <si>
    <t>Inventories - (Increase)/Decrease</t>
  </si>
  <si>
    <t>Trade &amp; Other Payables - Increase/(Decrease)</t>
  </si>
  <si>
    <t>Accrued Expenses - Increase/(Decrease)</t>
  </si>
  <si>
    <t>Taxes Payable - Increase/(Decrease)</t>
  </si>
  <si>
    <t xml:space="preserve">Increase in deferred revenue </t>
  </si>
  <si>
    <t>Increase in government grants</t>
  </si>
  <si>
    <t>Change in Working Capital</t>
  </si>
  <si>
    <t>Cash Generated from Operations:</t>
  </si>
  <si>
    <t>Income Tax Paid</t>
  </si>
  <si>
    <t>Interest Paid</t>
  </si>
  <si>
    <t>Interest Received</t>
  </si>
  <si>
    <t>Net Cash Generated from Operating Activities:</t>
  </si>
  <si>
    <t>Purchase of Property Plant &amp; Equipment</t>
  </si>
  <si>
    <t>Purchase of Ownership in a Single Asset Entity</t>
  </si>
  <si>
    <t>Purchase of Investment Property</t>
  </si>
  <si>
    <t>Purchase of Intangible Assets</t>
  </si>
  <si>
    <t>Purchase of Land Lease Rights</t>
  </si>
  <si>
    <t>Purchase of Non-Controlling Interest</t>
  </si>
  <si>
    <t>Cash received from business combination</t>
  </si>
  <si>
    <t>Proceeds from Disposal of Subsidiary</t>
  </si>
  <si>
    <t>Proceeds from Sale of Property Plant &amp; Equipment</t>
  </si>
  <si>
    <t>Proceeds from Sale of Land Lease Rights</t>
  </si>
  <si>
    <t>Proceeds from sale of investment property</t>
  </si>
  <si>
    <t>Acquisition of Subsidiaries</t>
  </si>
  <si>
    <t>Loans Provided</t>
  </si>
  <si>
    <t>Loans Repaid</t>
  </si>
  <si>
    <t>Proceeds from Government Grants</t>
  </si>
  <si>
    <t>Net Cash Used in Investing Activities:</t>
  </si>
  <si>
    <t>Proceeds from Loans &amp; Borrowing</t>
  </si>
  <si>
    <t>Repayment of Loans &amp; Borrowing</t>
  </si>
  <si>
    <t>Dividends Paid</t>
  </si>
  <si>
    <t>Repayment of Obligations under Finance Leases</t>
  </si>
  <si>
    <t>Proceeds from Sale of Treasury Shares</t>
  </si>
  <si>
    <t>Purchase of Treasury Shares</t>
  </si>
  <si>
    <t>Proceeds from Issuance of Ordinary Shares</t>
  </si>
  <si>
    <t>Payment for Shares Issue Costs</t>
  </si>
  <si>
    <t>Net Cash Provided by Finance Activities:</t>
  </si>
  <si>
    <t>Cash &amp; Cash Equivalents - bop</t>
  </si>
  <si>
    <t>Net Increase/(Decrease)</t>
  </si>
  <si>
    <t>Cash &amp; Cash Equivalents - eop</t>
  </si>
  <si>
    <t>&gt;&gt; Arсhive (old data book)</t>
  </si>
  <si>
    <t>Bond series</t>
  </si>
  <si>
    <t>Registered number</t>
  </si>
  <si>
    <t>Long-term loans</t>
  </si>
  <si>
    <t>Short-term loans</t>
  </si>
  <si>
    <t>Long-term lease liabilities</t>
  </si>
  <si>
    <t>Short-term lease liabilities</t>
  </si>
  <si>
    <t>Total selling space, th. sq. m.</t>
  </si>
  <si>
    <t>Owned selling space, th. sq. m</t>
  </si>
  <si>
    <t>Leased selling space, th. sq. m</t>
  </si>
  <si>
    <t>Lease &amp; sublease income</t>
  </si>
  <si>
    <t>Current assets</t>
  </si>
  <si>
    <t>Right-of-use assets</t>
  </si>
  <si>
    <t>Long-term receivables</t>
  </si>
  <si>
    <t>EBITDA adjusted</t>
  </si>
  <si>
    <t>EBITDA margin adjusted</t>
  </si>
  <si>
    <t>Other net income / (loss)</t>
  </si>
  <si>
    <t>Net finance costs</t>
  </si>
  <si>
    <t>Loss (gain) from disposal of intangible assets</t>
  </si>
  <si>
    <t>Loss (gain) from disposal of landlease rights</t>
  </si>
  <si>
    <t>Loss (gain) from disposal of investment property</t>
  </si>
  <si>
    <t>Accrual / (reversal) of provision for expected credit losses</t>
  </si>
  <si>
    <t>Share based payments reserve</t>
  </si>
  <si>
    <t>Increase / (decrease) in advances received</t>
  </si>
  <si>
    <t xml:space="preserve">Increase / (decrease) in inventories  </t>
  </si>
  <si>
    <t>Increase / (decrease) in trade and other payables</t>
  </si>
  <si>
    <t>Increase / (decrease) in accrued expenses</t>
  </si>
  <si>
    <t>Increase / (decrease) in contract liabilities</t>
  </si>
  <si>
    <t>Increase / (decrease) in government grants</t>
  </si>
  <si>
    <t>Proceeds from purchase of subsidiary</t>
  </si>
  <si>
    <t>Proceeds from government grants</t>
  </si>
  <si>
    <t>Net cash generated from / (used in) financing activities</t>
  </si>
  <si>
    <t>Net increase / (decrease) in cash and cash equivalents</t>
  </si>
  <si>
    <t>ACRA</t>
  </si>
  <si>
    <t xml:space="preserve"> Central Federal District</t>
  </si>
  <si>
    <t xml:space="preserve"> Northwestern Federal District</t>
  </si>
  <si>
    <t xml:space="preserve"> Southern Federal District</t>
  </si>
  <si>
    <t xml:space="preserve"> North-Caucasian Federal District</t>
  </si>
  <si>
    <t xml:space="preserve"> Siberian Federal District</t>
  </si>
  <si>
    <t xml:space="preserve"> Urals Federal District</t>
  </si>
  <si>
    <t xml:space="preserve"> Volga Federal District</t>
  </si>
  <si>
    <t>including</t>
  </si>
  <si>
    <t>In-store employees</t>
  </si>
  <si>
    <t>Distribution employees</t>
  </si>
  <si>
    <t>Branches employees</t>
  </si>
  <si>
    <t>Headquarters employees</t>
  </si>
  <si>
    <t>&gt;&gt; P&amp;L statement quarterly</t>
  </si>
  <si>
    <t>4Q 2019</t>
  </si>
  <si>
    <t>FY 2019</t>
  </si>
  <si>
    <t>Restated</t>
  </si>
  <si>
    <t>Gain from sale of investments</t>
  </si>
  <si>
    <t>1Q 2020</t>
  </si>
  <si>
    <t>2Q 2020</t>
  </si>
  <si>
    <t>1H 2020</t>
  </si>
  <si>
    <t>Inventory expenses connected with recording at net realizable value</t>
  </si>
  <si>
    <t>3Q 2020</t>
  </si>
  <si>
    <t>4Q 2020</t>
  </si>
  <si>
    <t>FY 2020</t>
  </si>
  <si>
    <t>Gain from Covid-19 related rent concessions</t>
  </si>
  <si>
    <t>1Q 2021</t>
  </si>
  <si>
    <t>2Q 2021</t>
  </si>
  <si>
    <t>1H 2021</t>
  </si>
  <si>
    <t>Long-term paybles</t>
  </si>
  <si>
    <t>Selling, general and administrative expenses</t>
  </si>
  <si>
    <t>Staff costs</t>
  </si>
  <si>
    <t>Decrease / (increase) in advances paid and other prepaid services</t>
  </si>
  <si>
    <t>Repayment of of lease liabilities</t>
  </si>
  <si>
    <t>Effect of foreign exchange differences on cash and cash equivalents</t>
  </si>
  <si>
    <t>Share-based payments reserve</t>
  </si>
  <si>
    <t>Taxes payable, excluding income tax</t>
  </si>
  <si>
    <t>Magnit</t>
  </si>
  <si>
    <t>Dixy</t>
  </si>
  <si>
    <t>TICKETS</t>
  </si>
  <si>
    <t>STORES &amp; SELLING SPACE</t>
  </si>
  <si>
    <t>PERSONAL</t>
  </si>
  <si>
    <t>LIKE-FOR-LIKE</t>
  </si>
  <si>
    <t>SALES</t>
  </si>
  <si>
    <t xml:space="preserve"> </t>
  </si>
  <si>
    <t>3Q 2021</t>
  </si>
  <si>
    <t>4Q 2021</t>
  </si>
  <si>
    <t>FY 2021</t>
  </si>
  <si>
    <t>4Q  2021</t>
  </si>
  <si>
    <t>2Q2021</t>
  </si>
  <si>
    <t>Number of orders per day (average)</t>
  </si>
  <si>
    <t>Average ticket incl. VAT, RUB</t>
  </si>
  <si>
    <t>Number of stores covered, EOP</t>
  </si>
  <si>
    <t>E-COMMERCE</t>
  </si>
  <si>
    <t>Long-term net investments in sublease</t>
  </si>
  <si>
    <t>Short-term net investments in sublease</t>
  </si>
  <si>
    <t>Advances paid and other prepaid expenses</t>
  </si>
  <si>
    <t>Taxes receivable, excluding income tax</t>
  </si>
  <si>
    <t>Long-term loans and borrowings</t>
  </si>
  <si>
    <t>Short-term loans and borrowings</t>
  </si>
  <si>
    <t>Utilities and communication services</t>
  </si>
  <si>
    <t>Acquisition of a subsidiary, net of cash acquired</t>
  </si>
  <si>
    <t>1Q 2022</t>
  </si>
  <si>
    <t>2Q 2022</t>
  </si>
  <si>
    <t>3Q 20222</t>
  </si>
  <si>
    <t>4Q 2022</t>
  </si>
  <si>
    <t>3Q 2022</t>
  </si>
  <si>
    <t>GMV, RUB mln</t>
  </si>
  <si>
    <t>1H 2022</t>
  </si>
  <si>
    <t>Long-term advances issued</t>
  </si>
  <si>
    <t>Commission remuneration</t>
  </si>
  <si>
    <t>Income from write-off of accounts payable</t>
  </si>
  <si>
    <t>Group</t>
  </si>
  <si>
    <t>FY 2022</t>
  </si>
  <si>
    <t>Impairment of Goodwill</t>
  </si>
  <si>
    <t>Profit from a bargain purchase</t>
  </si>
  <si>
    <t>1Q 2023</t>
  </si>
  <si>
    <t>2Q 2023</t>
  </si>
  <si>
    <t>3Q 2023</t>
  </si>
  <si>
    <t>4Q 2023</t>
  </si>
  <si>
    <t>FY 2023</t>
  </si>
  <si>
    <t>3Q 20232</t>
  </si>
  <si>
    <t>БО-004Р-01</t>
  </si>
  <si>
    <t>4B02-01-60525-P-004P</t>
  </si>
  <si>
    <t>БО-004Р-03</t>
  </si>
  <si>
    <t>4B02-02-60525-P-004P</t>
  </si>
  <si>
    <t>91 day</t>
  </si>
  <si>
    <t>1H 2023</t>
  </si>
  <si>
    <t>excl. Uzbekistan</t>
  </si>
  <si>
    <t>Warehousing space, th. sq.m.</t>
  </si>
  <si>
    <t>Other long-term financial assets</t>
  </si>
  <si>
    <t>Other non-current assets</t>
  </si>
  <si>
    <t>Other short-term financial assets</t>
  </si>
  <si>
    <t>Advances on income tax</t>
  </si>
  <si>
    <t>Foreign currency translation reserve</t>
  </si>
  <si>
    <t>Long-term contract liabilities</t>
  </si>
  <si>
    <t xml:space="preserve">Long-term government grants </t>
  </si>
  <si>
    <t>Deferred tax liabilities</t>
  </si>
  <si>
    <t xml:space="preserve">Short-term government grants </t>
  </si>
  <si>
    <t>Total equity and liabilities</t>
  </si>
  <si>
    <t>Advances paid for the purchase and construction of property, plant and equipment</t>
  </si>
  <si>
    <t>Acquisition of treasury shares</t>
  </si>
  <si>
    <t>Retail</t>
  </si>
  <si>
    <t>AAA (RU)</t>
  </si>
  <si>
    <t>ruAAA</t>
  </si>
  <si>
    <t>Expert RA</t>
  </si>
  <si>
    <t>3Q 2024</t>
  </si>
  <si>
    <t>4Q 2024</t>
  </si>
  <si>
    <t>FY 2024</t>
  </si>
  <si>
    <t>3Q 20242</t>
  </si>
  <si>
    <t>1 H2024</t>
  </si>
  <si>
    <t>1 H2023</t>
  </si>
  <si>
    <t>incl. Uzbekistan</t>
  </si>
  <si>
    <t>1H 2024</t>
  </si>
  <si>
    <t>Non-controlling interests</t>
  </si>
  <si>
    <t>Other liabilities</t>
  </si>
  <si>
    <t>Magnit Convenience stores</t>
  </si>
  <si>
    <t>Magnit Supermarkets</t>
  </si>
  <si>
    <t>Dixy Convenience stores</t>
  </si>
  <si>
    <t>Deferred tax assets</t>
  </si>
  <si>
    <t>Equity attributable to the shareholders of the parent company</t>
  </si>
  <si>
    <t>Total equity attributable to the shareholders of the parent company</t>
  </si>
  <si>
    <t>Depreciation, amortization and impairment</t>
  </si>
  <si>
    <t>Material costs</t>
  </si>
  <si>
    <t>(Reversal)/ accrual of expected credit losses / accrual of bad debt provision</t>
  </si>
  <si>
    <t>Depreciation and impairment of property, plant and equipment and right-of-use-assets</t>
  </si>
  <si>
    <t>Amortization and impairment of intangible assets</t>
  </si>
  <si>
    <t>Impairment and write-offs of advances paid and capital advances</t>
  </si>
  <si>
    <t>Accrual / (reversal) of provision for expected credit losses on financial assets</t>
  </si>
  <si>
    <t>Increase / (decrease) in taxes payable, excluding income tax</t>
  </si>
  <si>
    <t>Income from government grants</t>
  </si>
  <si>
    <t>Total number of stores by Federal Districts</t>
  </si>
  <si>
    <t>Breakdown of stores by Federal Districts, %</t>
  </si>
  <si>
    <t>БО-004Р-06</t>
  </si>
  <si>
    <t>4B02-06-60525-P-004P</t>
  </si>
  <si>
    <t>30 day</t>
  </si>
  <si>
    <t>Bonds placed after the reporting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</si>
</sst>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3" formatCode="_-* #,##0.00_-;\-* #,##0.00_-;_-* &quot;-&quot;??_-;_-@_-"/>
    <numFmt numFmtId="164" formatCode="_-* #,##0.00\ _₽_-;\-* #,##0.00\ _₽_-;_-* &quot;-&quot;??\ _₽_-;_-@_-"/>
    <numFmt numFmtId="165" formatCode="&quot;$&quot;#,##0.00_);\(&quot;$&quot;#,##0.00\)"/>
    <numFmt numFmtId="166" formatCode="_(* #,##0.00_);_(* \(#,##0.00\);_(* &quot;-&quot;??_);_(@_)"/>
    <numFmt numFmtId="167" formatCode="_-* #,##0.00_р_._-;\-* #,##0.00_р_._-;_-* &quot;-&quot;??_р_._-;_-@_-"/>
    <numFmt numFmtId="168" formatCode="\ ###,000;\(###,000\)"/>
    <numFmt numFmtId="169" formatCode="\ ###,###;\(###,###\);&quot;-&quot;"/>
    <numFmt numFmtId="170" formatCode="[$-F400]h:mm:ss\ AM/PM"/>
    <numFmt numFmtId="171" formatCode="0.0%"/>
    <numFmt numFmtId="172" formatCode="\ ###,###.00;\(###,###.00\);&quot;-&quot;"/>
    <numFmt numFmtId="173" formatCode="[&lt;=9999999]###\-####;\(###\)\ ###\-####"/>
    <numFmt numFmtId="174" formatCode="\ ###,###.0;\(###,###.0\);&quot;-&quot;"/>
    <numFmt numFmtId="175" formatCode="#,##0\ ;\(#,##0\);\-\ \ "/>
    <numFmt numFmtId="176" formatCode="_(* #,##0_);_(* \(#,##0\);_(* &quot;-&quot;??_);_(@_)"/>
    <numFmt numFmtId="177" formatCode="[Black]#,##0%;[Red]\-#,##0%"/>
    <numFmt numFmtId="178" formatCode="[Black]#,##0.0%;[Red]\-#,##0.0%"/>
    <numFmt numFmtId="179" formatCode="#,##0%_);[Red]\(#,##0%\)"/>
    <numFmt numFmtId="180" formatCode="#,##0.0_);\(#,##0.0\)"/>
    <numFmt numFmtId="181" formatCode="#,##0.0_);[Red]\(#,##0.0\)"/>
    <numFmt numFmtId="182" formatCode="[Black]#,##0.00%;[Red]\-#,##0.00%"/>
    <numFmt numFmtId="183" formatCode="#,##0.0%_);\(#,##0.0%\)"/>
    <numFmt numFmtId="184" formatCode="#,##0.00%_);[Red]\(#,##0.00%\)"/>
    <numFmt numFmtId="185" formatCode="[Blue]#,##0.00%;[Red]\-#,##0.00%"/>
    <numFmt numFmtId="186" formatCode="0.0_);[Red]\(0.0\)"/>
    <numFmt numFmtId="187" formatCode="#,##0.00%_);\(#,##0.00%\)"/>
    <numFmt numFmtId="188" formatCode="[Black]#,##0.000%;[Red]\-#,##0.000%"/>
    <numFmt numFmtId="189" formatCode="_-* #,##0\ [$₽-419]_-;\-* #,##0\ [$₽-419]_-;_-* &quot;-&quot;\ [$₽-419]_-;_-@_-"/>
    <numFmt numFmtId="190" formatCode="#,##0.0%_);[Red]\(#,##0.0%\)"/>
    <numFmt numFmtId="191" formatCode="[$-409]dd\-mmm\-yy;@"/>
    <numFmt numFmtId="192" formatCode="_-* #,##0.00\ [$₽-419]_-;\-* #,##0.00\ [$₽-419]_-;_-* &quot;-&quot;??\ [$₽-419]_-;_-@_-"/>
    <numFmt numFmtId="193" formatCode="#,##0.0000\ _₽;[Red]\-#,##0.0000\ _₽"/>
    <numFmt numFmtId="194" formatCode="_-* #,##0.00\ [$₽-419]_-;\-* #,##0.00\ [$₽-419]_-;_-* &quot;-&quot;\ [$₽-419]_-;_-@_-"/>
    <numFmt numFmtId="195" formatCode="#,##0%_);\(#,##0%\)"/>
    <numFmt numFmtId="196" formatCode="#,##0.0\ _₽;[Red]\-#,##0.0\ _₽"/>
    <numFmt numFmtId="197" formatCode="0_);[Red]\(0\)"/>
    <numFmt numFmtId="198" formatCode="0.00_);[Red]\(0.00\)"/>
    <numFmt numFmtId="199" formatCode="#,##0_ ;[Red]\-#,##0\ "/>
    <numFmt numFmtId="200" formatCode="&quot;$&quot;#,##0;[Red]\-&quot;$&quot;#,##0"/>
    <numFmt numFmtId="201" formatCode="_(* #,##0.000_);_(* \(#,##0.000\);_(* &quot;-&quot;??_);_(@_)"/>
    <numFmt numFmtId="202" formatCode="_(* #,##0.0_);_(* \(#,##0.0\);_(* &quot;-&quot;??_);_(@_)"/>
    <numFmt numFmtId="203" formatCode="\ ###,###.0000;\(###,###.0000\);&quot;-&quot;"/>
    <numFmt numFmtId="204" formatCode="_(* #,##0.00000_);_(* \(#,##0.00000\);_(* &quot;-&quot;??_);_(@_)"/>
  </numFmts>
  <fonts count="17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1"/>
      <color theme="1"/>
      <name val="Calibri"/>
      <family val="2"/>
      <charset val="204"/>
    </font>
    <font>
      <sz val="12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i/>
      <u/>
      <sz val="10"/>
      <color rgb="FFC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u/>
      <sz val="10"/>
      <color theme="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0"/>
      <color rgb="FF0070C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i/>
      <u/>
      <sz val="10"/>
      <color rgb="FF0070C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rgb="FF003366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b/>
      <i/>
      <sz val="11"/>
      <color theme="3"/>
      <name val="Calibri"/>
      <family val="2"/>
      <charset val="204"/>
      <scheme val="minor"/>
    </font>
    <font>
      <sz val="12"/>
      <color theme="4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i/>
      <sz val="16"/>
      <color theme="3"/>
      <name val="Calibri"/>
      <family val="2"/>
      <charset val="204"/>
      <scheme val="minor"/>
    </font>
    <font>
      <sz val="12"/>
      <color theme="3"/>
      <name val="Calibri"/>
      <family val="2"/>
      <charset val="204"/>
      <scheme val="minor"/>
    </font>
    <font>
      <b/>
      <i/>
      <sz val="12"/>
      <color theme="3"/>
      <name val="Calibri"/>
      <family val="2"/>
      <charset val="204"/>
      <scheme val="minor"/>
    </font>
    <font>
      <sz val="10"/>
      <color theme="3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  <font>
      <b/>
      <u/>
      <sz val="11"/>
      <color theme="4" tint="-0.249977111117893"/>
      <name val="Calibri"/>
      <family val="2"/>
      <charset val="204"/>
      <scheme val="minor"/>
    </font>
    <font>
      <u/>
      <sz val="11"/>
      <color theme="4" tint="-0.249977111117893"/>
      <name val="Calibri"/>
      <family val="2"/>
      <charset val="204"/>
      <scheme val="minor"/>
    </font>
    <font>
      <sz val="10"/>
      <name val="Arial"/>
      <family val="2"/>
    </font>
    <font>
      <b/>
      <sz val="14"/>
      <color theme="0" tint="-4.9989318521683403E-2"/>
      <name val="Helvetica Neue"/>
    </font>
    <font>
      <b/>
      <sz val="10"/>
      <color theme="0" tint="-0.14999847407452621"/>
      <name val="Helvetica Neue"/>
    </font>
    <font>
      <b/>
      <sz val="12"/>
      <color theme="0"/>
      <name val="Helvetica Neue"/>
    </font>
    <font>
      <b/>
      <sz val="12"/>
      <color theme="0" tint="-4.9989318521683403E-2"/>
      <name val="Helvetica Neue"/>
    </font>
    <font>
      <sz val="10"/>
      <name val="Arial"/>
      <family val="2"/>
      <charset val="204"/>
    </font>
    <font>
      <b/>
      <sz val="11"/>
      <color rgb="FF002060"/>
      <name val="Helvetica Neue"/>
    </font>
    <font>
      <b/>
      <sz val="10"/>
      <color theme="0"/>
      <name val="Helvetica Neue"/>
    </font>
    <font>
      <b/>
      <sz val="11"/>
      <color theme="0"/>
      <name val="Helvetica Neue"/>
    </font>
    <font>
      <b/>
      <sz val="10"/>
      <color rgb="FF002060"/>
      <name val="Helvetica Neue"/>
    </font>
    <font>
      <b/>
      <sz val="10"/>
      <color theme="1"/>
      <name val="Helvetica Neue"/>
    </font>
    <font>
      <b/>
      <sz val="9"/>
      <color theme="1"/>
      <name val="Helvetica Neue"/>
    </font>
    <font>
      <b/>
      <sz val="8"/>
      <color theme="1" tint="0.499984740745262"/>
      <name val="Helvetica Neue"/>
    </font>
    <font>
      <b/>
      <sz val="9"/>
      <color theme="1" tint="0.499984740745262"/>
      <name val="Helvetica Neue"/>
    </font>
    <font>
      <sz val="9"/>
      <color rgb="FF011893"/>
      <name val="Helvetica Neue"/>
    </font>
    <font>
      <b/>
      <sz val="10"/>
      <name val="Helvetica Neue"/>
    </font>
    <font>
      <b/>
      <sz val="9"/>
      <name val="Helvetica Neue"/>
    </font>
    <font>
      <sz val="10"/>
      <color theme="1"/>
      <name val="Helvetica Neue"/>
    </font>
    <font>
      <sz val="9"/>
      <color theme="1" tint="0.499984740745262"/>
      <name val="Helvetica Neue"/>
    </font>
    <font>
      <sz val="9"/>
      <color theme="1"/>
      <name val="Helvetica Neue"/>
    </font>
    <font>
      <sz val="8"/>
      <color theme="1" tint="0.499984740745262"/>
      <name val="Helvetica Neue"/>
    </font>
    <font>
      <sz val="8"/>
      <color theme="1"/>
      <name val="Helvetica Neue"/>
    </font>
    <font>
      <sz val="10"/>
      <color rgb="FF011893"/>
      <name val="Helvetica Neue"/>
    </font>
    <font>
      <sz val="10"/>
      <color theme="1" tint="0.499984740745262"/>
      <name val="Helvetica Neue"/>
    </font>
    <font>
      <i/>
      <sz val="10"/>
      <color rgb="FF011893"/>
      <name val="Helvetica Neue"/>
      <charset val="204"/>
    </font>
    <font>
      <sz val="8"/>
      <name val="Helvetica Neue"/>
    </font>
    <font>
      <sz val="8"/>
      <color indexed="18"/>
      <name val="Helvetica Neue"/>
    </font>
    <font>
      <sz val="8"/>
      <color indexed="48"/>
      <name val="Helvetica Neue"/>
    </font>
    <font>
      <i/>
      <sz val="10"/>
      <color rgb="FF011893"/>
      <name val="Helvetica Neue"/>
    </font>
    <font>
      <i/>
      <sz val="10"/>
      <color theme="1"/>
      <name val="Helvetica Neue"/>
    </font>
    <font>
      <i/>
      <sz val="9"/>
      <color rgb="FFFF2F92"/>
      <name val="Helvetica Neue"/>
    </font>
    <font>
      <i/>
      <sz val="9"/>
      <color rgb="FF011893"/>
      <name val="Helvetica Neue"/>
    </font>
    <font>
      <sz val="10"/>
      <color indexed="8"/>
      <name val="Helvetica Neue"/>
    </font>
    <font>
      <sz val="8"/>
      <color rgb="FF011893"/>
      <name val="Helvetica Neue"/>
    </font>
    <font>
      <sz val="11"/>
      <color rgb="FF011893"/>
      <name val="Helvetica Neue"/>
    </font>
    <font>
      <sz val="8"/>
      <color theme="0" tint="-0.499984740745262"/>
      <name val="Helvetica Neue"/>
      <charset val="204"/>
    </font>
    <font>
      <sz val="9"/>
      <color theme="0" tint="-0.499984740745262"/>
      <name val="Helvetica Neue"/>
      <charset val="204"/>
    </font>
    <font>
      <b/>
      <sz val="12"/>
      <color theme="0" tint="-0.14999847407452621"/>
      <name val="Helvetica Neue"/>
    </font>
    <font>
      <b/>
      <sz val="11"/>
      <color theme="0" tint="-0.14999847407452621"/>
      <name val="Helvetica Neue"/>
    </font>
    <font>
      <b/>
      <sz val="10"/>
      <color rgb="FF011893"/>
      <name val="Helvetica Neue"/>
    </font>
    <font>
      <sz val="10"/>
      <color rgb="FFFF2F92"/>
      <name val="Helvetica Neue"/>
    </font>
    <font>
      <sz val="9"/>
      <color rgb="FFFF2F92"/>
      <name val="Helvetica Neue"/>
    </font>
    <font>
      <i/>
      <sz val="9"/>
      <color theme="1"/>
      <name val="Helvetica Neue"/>
    </font>
    <font>
      <i/>
      <sz val="9"/>
      <color theme="1" tint="0.249977111117893"/>
      <name val="Helvetica Neue"/>
    </font>
    <font>
      <sz val="9"/>
      <color theme="4" tint="-0.499984740745262"/>
      <name val="Helvetica Neue"/>
    </font>
    <font>
      <i/>
      <sz val="8"/>
      <color theme="1"/>
      <name val="Helvetica Neue"/>
    </font>
    <font>
      <i/>
      <sz val="8"/>
      <color theme="1" tint="0.499984740745262"/>
      <name val="Helvetica Neue"/>
    </font>
    <font>
      <i/>
      <sz val="9"/>
      <color theme="1" tint="0.499984740745262"/>
      <name val="Helvetica Neue"/>
    </font>
    <font>
      <sz val="10"/>
      <color rgb="FF002060"/>
      <name val="Helvetica Neue"/>
    </font>
    <font>
      <b/>
      <i/>
      <sz val="9"/>
      <color theme="1"/>
      <name val="Helvetica Neue"/>
    </font>
    <font>
      <sz val="10"/>
      <color theme="0" tint="-0.499984740745262"/>
      <name val="Helvetica Neue"/>
      <charset val="204"/>
    </font>
    <font>
      <b/>
      <sz val="9"/>
      <color rgb="FF011893"/>
      <name val="Helvetica Neue"/>
    </font>
    <font>
      <b/>
      <sz val="12"/>
      <color rgb="FF002060"/>
      <name val="Helvetica Neue"/>
    </font>
    <font>
      <sz val="10"/>
      <color rgb="FFFF0000"/>
      <name val="Helvetica Neue"/>
    </font>
    <font>
      <i/>
      <sz val="9"/>
      <color rgb="FF002060"/>
      <name val="Helvetica Neue"/>
    </font>
    <font>
      <b/>
      <sz val="10"/>
      <color theme="4" tint="-0.499984740745262"/>
      <name val="Helvetica Neue"/>
    </font>
    <font>
      <sz val="10"/>
      <name val="Helvetica Neue"/>
    </font>
    <font>
      <sz val="9"/>
      <name val="Helvetica Neue"/>
    </font>
    <font>
      <b/>
      <sz val="10"/>
      <color rgb="FFFF2F92"/>
      <name val="Helvetica Neue"/>
    </font>
    <font>
      <b/>
      <sz val="10"/>
      <color rgb="FFFFC000"/>
      <name val="Helvetica Neue"/>
    </font>
    <font>
      <b/>
      <sz val="11"/>
      <color theme="0" tint="-4.9989318521683403E-2"/>
      <name val="Helvetica Neue"/>
    </font>
    <font>
      <sz val="9"/>
      <color rgb="FF008F00"/>
      <name val="Helvetica Neue"/>
    </font>
    <font>
      <b/>
      <sz val="10"/>
      <color theme="1"/>
      <name val="Helvetica Neue"/>
      <charset val="204"/>
    </font>
    <font>
      <sz val="8"/>
      <color rgb="FFFF2F92"/>
      <name val="Helvetica Neue"/>
    </font>
    <font>
      <b/>
      <i/>
      <sz val="10"/>
      <color theme="1"/>
      <name val="Helvetica Neue"/>
    </font>
    <font>
      <b/>
      <i/>
      <sz val="10"/>
      <color rgb="FF008F00"/>
      <name val="Helvetica Neue"/>
    </font>
    <font>
      <b/>
      <sz val="14"/>
      <color theme="1"/>
      <name val="Helvetica Neue"/>
    </font>
    <font>
      <b/>
      <sz val="14"/>
      <color theme="5"/>
      <name val="Helvetica Neue"/>
    </font>
    <font>
      <b/>
      <sz val="14"/>
      <color rgb="FF002060"/>
      <name val="Helvetica Neue"/>
    </font>
    <font>
      <b/>
      <sz val="12"/>
      <color theme="1"/>
      <name val="Helvetica Neue"/>
    </font>
    <font>
      <sz val="12"/>
      <color indexed="8"/>
      <name val="Helvetica Neue"/>
    </font>
    <font>
      <b/>
      <sz val="11"/>
      <color theme="1"/>
      <name val="Helvetica Neue"/>
    </font>
    <font>
      <b/>
      <sz val="9"/>
      <color indexed="8"/>
      <name val="Helvetica Neue"/>
    </font>
    <font>
      <sz val="9"/>
      <color indexed="8"/>
      <name val="Helvetica Neue"/>
    </font>
    <font>
      <sz val="10"/>
      <color indexed="18"/>
      <name val="Helvetica Neue"/>
    </font>
    <font>
      <sz val="10"/>
      <color indexed="48"/>
      <name val="Helvetica Neue"/>
    </font>
    <font>
      <i/>
      <sz val="8"/>
      <color indexed="8"/>
      <name val="Helvetica Neue"/>
    </font>
    <font>
      <sz val="8"/>
      <color indexed="8"/>
      <name val="Helvetica Neue"/>
    </font>
    <font>
      <sz val="11"/>
      <color theme="1"/>
      <name val="Helvetica Neue"/>
    </font>
    <font>
      <sz val="11"/>
      <color indexed="8"/>
      <name val="Helvetica Neue"/>
    </font>
    <font>
      <sz val="10"/>
      <color theme="0" tint="-4.9989318521683403E-2"/>
      <name val="Helvetica Neue"/>
    </font>
    <font>
      <sz val="10"/>
      <color theme="5" tint="-0.499984740745262"/>
      <name val="Helvetica Neue"/>
    </font>
    <font>
      <sz val="12"/>
      <color theme="1"/>
      <name val="Helvetica Neue"/>
    </font>
    <font>
      <b/>
      <sz val="14"/>
      <color theme="3" tint="0.39997558519241921"/>
      <name val="Helvetica Neue"/>
    </font>
    <font>
      <b/>
      <sz val="10"/>
      <color theme="3" tint="0.39997558519241921"/>
      <name val="Helvetica Neue"/>
    </font>
    <font>
      <b/>
      <sz val="9"/>
      <color theme="3" tint="0.39997558519241921"/>
      <name val="Helvetica Neue"/>
    </font>
    <font>
      <b/>
      <sz val="10"/>
      <color indexed="8"/>
      <name val="Helvetica Neue"/>
    </font>
    <font>
      <b/>
      <sz val="11"/>
      <color indexed="8"/>
      <name val="Helvetica Neue"/>
    </font>
    <font>
      <b/>
      <sz val="14"/>
      <color theme="6" tint="-0.249977111117893"/>
      <name val="Helvetica Neue"/>
    </font>
    <font>
      <b/>
      <sz val="10"/>
      <color theme="6" tint="-0.249977111117893"/>
      <name val="Helvetica Neue"/>
    </font>
    <font>
      <b/>
      <sz val="9"/>
      <color theme="6" tint="-0.249977111117893"/>
      <name val="Helvetica Neue"/>
    </font>
    <font>
      <i/>
      <sz val="10"/>
      <color rgb="FF00B050"/>
      <name val="Helvetica Neue"/>
    </font>
    <font>
      <sz val="10"/>
      <color rgb="FF00B050"/>
      <name val="Helvetica Neue"/>
    </font>
    <font>
      <sz val="9"/>
      <color indexed="81"/>
      <name val="Tahoma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0" tint="-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i/>
      <sz val="10"/>
      <color theme="0" tint="-0.249977111117893"/>
      <name val="Calibri"/>
      <family val="2"/>
      <charset val="204"/>
      <scheme val="minor"/>
    </font>
    <font>
      <i/>
      <sz val="10"/>
      <color theme="0" tint="-0.249977111117893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b/>
      <sz val="10"/>
      <color theme="0" tint="-0.249977111117893"/>
      <name val="Calibri"/>
      <family val="2"/>
      <charset val="204"/>
      <scheme val="minor"/>
    </font>
    <font>
      <sz val="8"/>
      <name val="Times New Roman"/>
      <family val="2"/>
      <charset val="204"/>
    </font>
    <font>
      <b/>
      <sz val="10"/>
      <color theme="1" tint="4.9989318521683403E-2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 tint="0.499984740745262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8F00"/>
        <bgColor indexed="64"/>
      </patternFill>
    </fill>
    <fill>
      <patternFill patternType="solid">
        <fgColor rgb="FFFF2F9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theme="1" tint="0.499984740745262"/>
      </left>
      <right/>
      <top style="medium">
        <color auto="1"/>
      </top>
      <bottom style="thin">
        <color theme="1" tint="0.499984740745262"/>
      </bottom>
      <diagonal/>
    </border>
    <border>
      <left/>
      <right/>
      <top style="medium">
        <color auto="1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0" tint="-0.14996795556505021"/>
      </left>
      <right style="hair">
        <color theme="0" tint="-0.14990691854609822"/>
      </right>
      <top style="thin">
        <color theme="1" tint="0.49998474074526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499984740745262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hair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hair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hair">
        <color theme="0" tint="-0.14990691854609822"/>
      </right>
      <top/>
      <bottom/>
      <diagonal/>
    </border>
    <border>
      <left style="thin">
        <color theme="0" tint="-0.14996795556505021"/>
      </left>
      <right style="hair">
        <color theme="0" tint="-0.14990691854609822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hair">
        <color theme="0" tint="-0.14990691854609822"/>
      </right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1" tint="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theme="1" tint="0.49998474074526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14993743705557422"/>
      </left>
      <right style="hair">
        <color theme="0" tint="-0.14990691854609822"/>
      </right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3743705557422"/>
      </left>
      <right style="hair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/>
      <diagonal/>
    </border>
    <border>
      <left/>
      <right/>
      <top style="thin">
        <color theme="1" tint="0.499984740745262"/>
      </top>
      <bottom style="thin">
        <color theme="0" tint="-0.14990691854609822"/>
      </bottom>
      <diagonal/>
    </border>
    <border>
      <left style="thin">
        <color theme="0" tint="-0.14993743705557422"/>
      </left>
      <right style="hair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hair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hair">
        <color theme="0" tint="-0.149906918546098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hair">
        <color theme="0" tint="-0.14990691854609822"/>
      </right>
      <top/>
      <bottom/>
      <diagonal/>
    </border>
    <border>
      <left style="thin">
        <color theme="0" tint="-0.14993743705557422"/>
      </left>
      <right style="hair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hair">
        <color theme="0" tint="-0.14990691854609822"/>
      </right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hair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hair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hair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1498764000366222"/>
      </right>
      <top/>
      <bottom/>
      <diagonal/>
    </border>
    <border>
      <left/>
      <right/>
      <top/>
      <bottom style="thin">
        <color theme="0" tint="-0.14993743705557422"/>
      </bottom>
      <diagonal/>
    </border>
    <border>
      <left style="medium">
        <color theme="1" tint="0.49998474074526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hair">
        <color theme="0" tint="-0.14990691854609822"/>
      </right>
      <top/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hair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hair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hair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hair">
        <color theme="0" tint="-0.14990691854609822"/>
      </right>
      <top/>
      <bottom/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6795556505021"/>
      </left>
      <right style="hair">
        <color theme="0" tint="-0.14990691854609822"/>
      </right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1" tint="0.499984740745262"/>
      </top>
      <bottom style="thin">
        <color theme="0" tint="-0.14993743705557422"/>
      </bottom>
      <diagonal/>
    </border>
    <border>
      <left style="thin">
        <color theme="0" tint="-0.14993743705557422"/>
      </left>
      <right style="hair">
        <color theme="0" tint="-0.1499069185460982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theme="1" tint="0.49998474074526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/>
      <diagonal/>
    </border>
    <border>
      <left/>
      <right style="hair">
        <color theme="0" tint="-0.14990691854609822"/>
      </right>
      <top/>
      <bottom style="thin">
        <color theme="0" tint="-4.9989318521683403E-2"/>
      </bottom>
      <diagonal/>
    </border>
    <border>
      <left/>
      <right style="hair">
        <color theme="0" tint="-0.1499069185460982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 style="thick">
        <color theme="1" tint="0.499984740745262"/>
      </bottom>
      <diagonal/>
    </border>
    <border>
      <left/>
      <right style="hair">
        <color theme="0" tint="-0.14990691854609822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n">
        <color theme="0" tint="-0.14996795556505021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70">
    <xf numFmtId="169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7" applyNumberFormat="0" applyAlignment="0" applyProtection="0"/>
    <xf numFmtId="0" fontId="17" fillId="9" borderId="8" applyNumberFormat="0" applyAlignment="0" applyProtection="0"/>
    <xf numFmtId="0" fontId="18" fillId="9" borderId="7" applyNumberFormat="0" applyAlignment="0" applyProtection="0"/>
    <xf numFmtId="0" fontId="19" fillId="0" borderId="9" applyNumberFormat="0" applyFill="0" applyAlignment="0" applyProtection="0"/>
    <xf numFmtId="0" fontId="20" fillId="10" borderId="10" applyNumberFormat="0" applyAlignment="0" applyProtection="0"/>
    <xf numFmtId="0" fontId="6" fillId="0" borderId="0" applyNumberFormat="0" applyFill="0" applyBorder="0" applyAlignment="0" applyProtection="0"/>
    <xf numFmtId="0" fontId="8" fillId="11" borderId="11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22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22" fillId="35" borderId="0" applyNumberFormat="0" applyBorder="0" applyAlignment="0" applyProtection="0"/>
    <xf numFmtId="0" fontId="8" fillId="0" borderId="0"/>
    <xf numFmtId="169" fontId="8" fillId="0" borderId="0"/>
    <xf numFmtId="169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169" fontId="8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11" borderId="11" applyNumberFormat="0" applyFont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62" fillId="0" borderId="0"/>
    <xf numFmtId="0" fontId="67" fillId="0" borderId="0"/>
    <xf numFmtId="0" fontId="3" fillId="0" borderId="0"/>
    <xf numFmtId="9" fontId="67" fillId="0" borderId="0" applyFont="0" applyFill="0" applyBorder="0" applyAlignment="0" applyProtection="0"/>
    <xf numFmtId="167" fontId="157" fillId="0" borderId="0" applyFont="0" applyFill="0" applyBorder="0" applyAlignment="0" applyProtection="0"/>
    <xf numFmtId="169" fontId="159" fillId="57" borderId="0"/>
    <xf numFmtId="164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591">
    <xf numFmtId="169" fontId="0" fillId="0" borderId="0" xfId="0"/>
    <xf numFmtId="169" fontId="26" fillId="0" borderId="0" xfId="0" applyFont="1"/>
    <xf numFmtId="169" fontId="28" fillId="0" borderId="0" xfId="1" applyNumberFormat="1" applyFont="1" applyAlignment="1" applyProtection="1"/>
    <xf numFmtId="169" fontId="29" fillId="0" borderId="0" xfId="1" applyNumberFormat="1" applyFont="1" applyAlignment="1" applyProtection="1">
      <alignment horizontal="center"/>
    </xf>
    <xf numFmtId="169" fontId="30" fillId="0" borderId="0" xfId="0" applyFont="1"/>
    <xf numFmtId="169" fontId="28" fillId="0" borderId="0" xfId="1" applyNumberFormat="1" applyFont="1" applyAlignment="1" applyProtection="1">
      <alignment horizontal="left"/>
    </xf>
    <xf numFmtId="169" fontId="33" fillId="0" borderId="0" xfId="0" applyFont="1" applyAlignment="1">
      <alignment vertical="center"/>
    </xf>
    <xf numFmtId="169" fontId="31" fillId="0" borderId="0" xfId="1" applyNumberFormat="1" applyFont="1" applyBorder="1" applyAlignment="1" applyProtection="1">
      <alignment horizontal="left" vertical="center"/>
    </xf>
    <xf numFmtId="169" fontId="28" fillId="0" borderId="0" xfId="0" applyFont="1" applyAlignment="1">
      <alignment horizontal="center" vertical="center"/>
    </xf>
    <xf numFmtId="169" fontId="30" fillId="0" borderId="0" xfId="0" applyFont="1" applyAlignment="1">
      <alignment vertical="center"/>
    </xf>
    <xf numFmtId="169" fontId="28" fillId="0" borderId="0" xfId="0" applyFont="1" applyAlignment="1">
      <alignment horizontal="left" vertical="center"/>
    </xf>
    <xf numFmtId="169" fontId="34" fillId="0" borderId="0" xfId="0" applyFont="1" applyAlignment="1">
      <alignment vertical="center"/>
    </xf>
    <xf numFmtId="169" fontId="29" fillId="0" borderId="0" xfId="1" applyNumberFormat="1" applyFont="1" applyFill="1" applyAlignment="1" applyProtection="1">
      <alignment horizontal="center"/>
    </xf>
    <xf numFmtId="169" fontId="25" fillId="3" borderId="0" xfId="0" applyFont="1" applyFill="1" applyAlignment="1">
      <alignment horizontal="right"/>
    </xf>
    <xf numFmtId="2" fontId="25" fillId="3" borderId="0" xfId="0" applyNumberFormat="1" applyFont="1" applyFill="1" applyAlignment="1">
      <alignment horizontal="right"/>
    </xf>
    <xf numFmtId="3" fontId="25" fillId="3" borderId="0" xfId="0" applyNumberFormat="1" applyFont="1" applyFill="1" applyAlignment="1">
      <alignment horizontal="right"/>
    </xf>
    <xf numFmtId="169" fontId="25" fillId="0" borderId="0" xfId="0" applyFont="1" applyAlignment="1">
      <alignment horizontal="right"/>
    </xf>
    <xf numFmtId="1" fontId="25" fillId="0" borderId="0" xfId="0" applyNumberFormat="1" applyFont="1" applyAlignment="1">
      <alignment horizontal="right"/>
    </xf>
    <xf numFmtId="171" fontId="30" fillId="0" borderId="0" xfId="0" applyNumberFormat="1" applyFont="1" applyAlignment="1">
      <alignment horizontal="right"/>
    </xf>
    <xf numFmtId="1" fontId="25" fillId="3" borderId="0" xfId="0" applyNumberFormat="1" applyFont="1" applyFill="1" applyAlignment="1">
      <alignment horizontal="right"/>
    </xf>
    <xf numFmtId="2" fontId="34" fillId="3" borderId="0" xfId="0" applyNumberFormat="1" applyFont="1" applyFill="1" applyAlignment="1">
      <alignment horizontal="left" indent="2"/>
    </xf>
    <xf numFmtId="169" fontId="34" fillId="3" borderId="0" xfId="0" applyFont="1" applyFill="1" applyAlignment="1">
      <alignment horizontal="right"/>
    </xf>
    <xf numFmtId="169" fontId="34" fillId="0" borderId="0" xfId="0" applyFont="1" applyAlignment="1">
      <alignment horizontal="right"/>
    </xf>
    <xf numFmtId="0" fontId="34" fillId="0" borderId="0" xfId="0" applyNumberFormat="1" applyFont="1"/>
    <xf numFmtId="0" fontId="29" fillId="0" borderId="0" xfId="2" applyFont="1"/>
    <xf numFmtId="0" fontId="38" fillId="0" borderId="0" xfId="2" applyFont="1"/>
    <xf numFmtId="169" fontId="39" fillId="0" borderId="0" xfId="0" applyFont="1"/>
    <xf numFmtId="169" fontId="40" fillId="0" borderId="0" xfId="1" applyNumberFormat="1" applyFont="1" applyBorder="1" applyAlignment="1" applyProtection="1">
      <alignment vertical="center"/>
    </xf>
    <xf numFmtId="169" fontId="41" fillId="0" borderId="0" xfId="0" applyFont="1"/>
    <xf numFmtId="169" fontId="30" fillId="0" borderId="0" xfId="0" applyFont="1" applyAlignment="1">
      <alignment horizontal="center"/>
    </xf>
    <xf numFmtId="169" fontId="30" fillId="0" borderId="1" xfId="0" applyFont="1" applyBorder="1"/>
    <xf numFmtId="1" fontId="34" fillId="0" borderId="1" xfId="0" applyNumberFormat="1" applyFont="1" applyBorder="1" applyAlignment="1">
      <alignment horizontal="center"/>
    </xf>
    <xf numFmtId="1" fontId="34" fillId="0" borderId="0" xfId="0" applyNumberFormat="1" applyFont="1" applyAlignment="1">
      <alignment horizontal="right"/>
    </xf>
    <xf numFmtId="169" fontId="37" fillId="0" borderId="0" xfId="0" applyFont="1" applyAlignment="1">
      <alignment horizontal="left" wrapText="1"/>
    </xf>
    <xf numFmtId="169" fontId="37" fillId="0" borderId="0" xfId="0" applyFont="1" applyAlignment="1">
      <alignment horizontal="right"/>
    </xf>
    <xf numFmtId="168" fontId="39" fillId="0" borderId="0" xfId="0" applyNumberFormat="1" applyFont="1" applyAlignment="1">
      <alignment horizontal="right"/>
    </xf>
    <xf numFmtId="169" fontId="39" fillId="0" borderId="0" xfId="0" applyFont="1" applyAlignment="1">
      <alignment horizontal="left" wrapText="1" indent="2"/>
    </xf>
    <xf numFmtId="169" fontId="39" fillId="0" borderId="0" xfId="0" applyFont="1" applyAlignment="1">
      <alignment horizontal="right"/>
    </xf>
    <xf numFmtId="169" fontId="36" fillId="0" borderId="0" xfId="0" applyFont="1" applyAlignment="1">
      <alignment horizontal="left" wrapText="1" indent="4"/>
    </xf>
    <xf numFmtId="169" fontId="36" fillId="0" borderId="0" xfId="0" applyFont="1" applyAlignment="1">
      <alignment horizontal="right"/>
    </xf>
    <xf numFmtId="169" fontId="25" fillId="0" borderId="0" xfId="0" applyFont="1"/>
    <xf numFmtId="169" fontId="37" fillId="0" borderId="2" xfId="0" applyFont="1" applyBorder="1" applyAlignment="1">
      <alignment wrapText="1"/>
    </xf>
    <xf numFmtId="169" fontId="37" fillId="0" borderId="2" xfId="0" applyFont="1" applyBorder="1"/>
    <xf numFmtId="169" fontId="34" fillId="0" borderId="0" xfId="0" applyFont="1"/>
    <xf numFmtId="169" fontId="36" fillId="0" borderId="0" xfId="0" applyFont="1" applyAlignment="1">
      <alignment horizontal="left" wrapText="1"/>
    </xf>
    <xf numFmtId="171" fontId="36" fillId="0" borderId="0" xfId="0" applyNumberFormat="1" applyFont="1" applyAlignment="1">
      <alignment horizontal="right"/>
    </xf>
    <xf numFmtId="169" fontId="42" fillId="0" borderId="0" xfId="0" applyFont="1"/>
    <xf numFmtId="169" fontId="39" fillId="0" borderId="0" xfId="0" applyFont="1" applyAlignment="1">
      <alignment horizontal="left" indent="4"/>
    </xf>
    <xf numFmtId="3" fontId="39" fillId="0" borderId="0" xfId="0" applyNumberFormat="1" applyFont="1" applyAlignment="1">
      <alignment horizontal="right"/>
    </xf>
    <xf numFmtId="3" fontId="39" fillId="0" borderId="0" xfId="0" applyNumberFormat="1" applyFont="1"/>
    <xf numFmtId="169" fontId="43" fillId="0" borderId="0" xfId="0" applyFont="1" applyAlignment="1">
      <alignment horizontal="left" indent="2"/>
    </xf>
    <xf numFmtId="169" fontId="43" fillId="0" borderId="0" xfId="0" applyFont="1"/>
    <xf numFmtId="169" fontId="37" fillId="0" borderId="0" xfId="0" applyFont="1"/>
    <xf numFmtId="169" fontId="40" fillId="0" borderId="0" xfId="1" applyNumberFormat="1" applyFont="1" applyFill="1" applyBorder="1" applyAlignment="1" applyProtection="1">
      <alignment vertical="center"/>
    </xf>
    <xf numFmtId="169" fontId="43" fillId="0" borderId="0" xfId="0" applyFont="1" applyAlignment="1">
      <alignment horizontal="left" vertical="center" indent="2"/>
    </xf>
    <xf numFmtId="169" fontId="39" fillId="0" borderId="0" xfId="0" applyFont="1" applyAlignment="1">
      <alignment horizontal="left" vertical="center" indent="4"/>
    </xf>
    <xf numFmtId="169" fontId="39" fillId="0" borderId="0" xfId="0" applyFont="1" applyAlignment="1">
      <alignment horizontal="left" vertical="center" wrapText="1" indent="4"/>
    </xf>
    <xf numFmtId="169" fontId="43" fillId="0" borderId="1" xfId="0" applyFont="1" applyBorder="1" applyAlignment="1">
      <alignment horizontal="left" indent="2"/>
    </xf>
    <xf numFmtId="169" fontId="43" fillId="0" borderId="1" xfId="0" applyFont="1" applyBorder="1" applyAlignment="1">
      <alignment horizontal="right"/>
    </xf>
    <xf numFmtId="169" fontId="43" fillId="0" borderId="0" xfId="0" applyFont="1" applyAlignment="1">
      <alignment horizontal="right"/>
    </xf>
    <xf numFmtId="169" fontId="37" fillId="0" borderId="3" xfId="0" applyFont="1" applyBorder="1" applyAlignment="1">
      <alignment vertical="center" wrapText="1"/>
    </xf>
    <xf numFmtId="169" fontId="37" fillId="0" borderId="3" xfId="0" applyFont="1" applyBorder="1" applyAlignment="1">
      <alignment horizontal="right"/>
    </xf>
    <xf numFmtId="169" fontId="43" fillId="0" borderId="1" xfId="0" applyFont="1" applyBorder="1"/>
    <xf numFmtId="169" fontId="43" fillId="0" borderId="2" xfId="0" applyFont="1" applyBorder="1"/>
    <xf numFmtId="169" fontId="37" fillId="0" borderId="3" xfId="0" applyFont="1" applyBorder="1"/>
    <xf numFmtId="0" fontId="29" fillId="2" borderId="0" xfId="2" applyFont="1" applyFill="1"/>
    <xf numFmtId="169" fontId="39" fillId="0" borderId="0" xfId="0" applyFont="1" applyAlignment="1">
      <alignment horizontal="left" wrapText="1"/>
    </xf>
    <xf numFmtId="169" fontId="43" fillId="0" borderId="0" xfId="0" applyFont="1" applyAlignment="1">
      <alignment horizontal="left" wrapText="1"/>
    </xf>
    <xf numFmtId="169" fontId="39" fillId="0" borderId="0" xfId="0" applyFont="1" applyAlignment="1">
      <alignment horizontal="left" indent="2"/>
    </xf>
    <xf numFmtId="169" fontId="37" fillId="0" borderId="2" xfId="0" applyFont="1" applyBorder="1" applyAlignment="1">
      <alignment horizontal="left" wrapText="1"/>
    </xf>
    <xf numFmtId="169" fontId="34" fillId="0" borderId="2" xfId="0" applyFont="1" applyBorder="1" applyAlignment="1">
      <alignment horizontal="right"/>
    </xf>
    <xf numFmtId="169" fontId="30" fillId="0" borderId="0" xfId="0" applyFont="1" applyAlignment="1">
      <alignment horizontal="right"/>
    </xf>
    <xf numFmtId="169" fontId="37" fillId="0" borderId="2" xfId="0" applyFont="1" applyBorder="1" applyAlignment="1">
      <alignment horizontal="right"/>
    </xf>
    <xf numFmtId="169" fontId="44" fillId="0" borderId="0" xfId="0" applyFont="1"/>
    <xf numFmtId="169" fontId="39" fillId="0" borderId="0" xfId="0" applyFont="1" applyAlignment="1">
      <alignment wrapText="1"/>
    </xf>
    <xf numFmtId="169" fontId="34" fillId="0" borderId="13" xfId="0" applyFont="1" applyBorder="1"/>
    <xf numFmtId="169" fontId="45" fillId="0" borderId="0" xfId="0" applyFont="1" applyAlignment="1">
      <alignment wrapText="1"/>
    </xf>
    <xf numFmtId="0" fontId="47" fillId="2" borderId="0" xfId="2" applyFont="1" applyFill="1"/>
    <xf numFmtId="169" fontId="48" fillId="0" borderId="0" xfId="0" applyFont="1"/>
    <xf numFmtId="169" fontId="34" fillId="0" borderId="0" xfId="0" applyFont="1" applyAlignment="1">
      <alignment horizontal="center"/>
    </xf>
    <xf numFmtId="14" fontId="30" fillId="3" borderId="0" xfId="0" applyNumberFormat="1" applyFont="1" applyFill="1"/>
    <xf numFmtId="14" fontId="30" fillId="3" borderId="0" xfId="0" applyNumberFormat="1" applyFont="1" applyFill="1" applyAlignment="1">
      <alignment horizontal="center"/>
    </xf>
    <xf numFmtId="169" fontId="49" fillId="3" borderId="0" xfId="0" applyFont="1" applyFill="1"/>
    <xf numFmtId="14" fontId="30" fillId="0" borderId="0" xfId="0" applyNumberFormat="1" applyFont="1"/>
    <xf numFmtId="2" fontId="30" fillId="0" borderId="0" xfId="0" applyNumberFormat="1" applyFont="1"/>
    <xf numFmtId="3" fontId="30" fillId="0" borderId="0" xfId="0" applyNumberFormat="1" applyFont="1"/>
    <xf numFmtId="0" fontId="48" fillId="2" borderId="0" xfId="2" applyFont="1" applyFill="1"/>
    <xf numFmtId="169" fontId="37" fillId="0" borderId="1" xfId="0" applyFont="1" applyBorder="1" applyAlignment="1">
      <alignment horizontal="center"/>
    </xf>
    <xf numFmtId="14" fontId="39" fillId="0" borderId="0" xfId="1" applyNumberFormat="1" applyFont="1" applyFill="1" applyAlignment="1" applyProtection="1">
      <alignment horizontal="left"/>
    </xf>
    <xf numFmtId="169" fontId="39" fillId="0" borderId="0" xfId="0" applyFont="1" applyAlignment="1">
      <alignment horizontal="center" wrapText="1"/>
    </xf>
    <xf numFmtId="169" fontId="39" fillId="0" borderId="0" xfId="0" applyFont="1" applyAlignment="1">
      <alignment horizontal="center"/>
    </xf>
    <xf numFmtId="169" fontId="30" fillId="3" borderId="0" xfId="0" applyFont="1" applyFill="1" applyAlignment="1">
      <alignment horizontal="left" vertical="center" indent="4"/>
    </xf>
    <xf numFmtId="169" fontId="30" fillId="0" borderId="0" xfId="0" applyFont="1" applyAlignment="1">
      <alignment horizontal="left" vertical="center" indent="4"/>
    </xf>
    <xf numFmtId="169" fontId="34" fillId="3" borderId="0" xfId="0" applyFont="1" applyFill="1" applyAlignment="1">
      <alignment vertical="center"/>
    </xf>
    <xf numFmtId="169" fontId="34" fillId="3" borderId="0" xfId="0" applyFont="1" applyFill="1"/>
    <xf numFmtId="169" fontId="37" fillId="0" borderId="0" xfId="0" applyFont="1" applyAlignment="1">
      <alignment wrapText="1"/>
    </xf>
    <xf numFmtId="171" fontId="30" fillId="0" borderId="0" xfId="47" applyNumberFormat="1" applyFont="1" applyFill="1"/>
    <xf numFmtId="169" fontId="30" fillId="0" borderId="0" xfId="0" applyFont="1" applyAlignment="1">
      <alignment horizontal="left"/>
    </xf>
    <xf numFmtId="1" fontId="34" fillId="3" borderId="0" xfId="0" applyNumberFormat="1" applyFont="1" applyFill="1" applyAlignment="1">
      <alignment horizontal="right"/>
    </xf>
    <xf numFmtId="169" fontId="30" fillId="3" borderId="0" xfId="0" applyFont="1" applyFill="1"/>
    <xf numFmtId="169" fontId="30" fillId="3" borderId="0" xfId="0" applyFont="1" applyFill="1" applyAlignment="1">
      <alignment horizontal="right"/>
    </xf>
    <xf numFmtId="169" fontId="25" fillId="0" borderId="0" xfId="0" applyFont="1" applyAlignment="1">
      <alignment horizontal="left" indent="2"/>
    </xf>
    <xf numFmtId="169" fontId="50" fillId="0" borderId="0" xfId="0" applyFont="1"/>
    <xf numFmtId="170" fontId="51" fillId="3" borderId="0" xfId="0" applyNumberFormat="1" applyFont="1" applyFill="1" applyAlignment="1">
      <alignment horizontal="left" vertical="center"/>
    </xf>
    <xf numFmtId="170" fontId="26" fillId="0" borderId="0" xfId="0" applyNumberFormat="1" applyFont="1"/>
    <xf numFmtId="170" fontId="46" fillId="0" borderId="0" xfId="0" applyNumberFormat="1" applyFont="1" applyAlignment="1">
      <alignment horizontal="left"/>
    </xf>
    <xf numFmtId="169" fontId="52" fillId="0" borderId="0" xfId="0" applyFont="1"/>
    <xf numFmtId="169" fontId="27" fillId="0" borderId="0" xfId="0" applyFont="1" applyAlignment="1">
      <alignment vertical="center"/>
    </xf>
    <xf numFmtId="169" fontId="54" fillId="0" borderId="0" xfId="0" applyFont="1" applyAlignment="1">
      <alignment vertical="center"/>
    </xf>
    <xf numFmtId="169" fontId="55" fillId="0" borderId="0" xfId="0" applyFont="1" applyAlignment="1">
      <alignment vertical="center"/>
    </xf>
    <xf numFmtId="169" fontId="56" fillId="0" borderId="0" xfId="0" applyFont="1" applyAlignment="1">
      <alignment horizontal="right" vertical="center"/>
    </xf>
    <xf numFmtId="14" fontId="56" fillId="0" borderId="0" xfId="0" applyNumberFormat="1" applyFont="1" applyAlignment="1">
      <alignment horizontal="left" vertical="center"/>
    </xf>
    <xf numFmtId="169" fontId="38" fillId="0" borderId="0" xfId="0" applyFont="1" applyAlignment="1">
      <alignment vertical="top"/>
    </xf>
    <xf numFmtId="169" fontId="29" fillId="0" borderId="0" xfId="1" applyNumberFormat="1" applyFont="1" applyBorder="1" applyAlignment="1" applyProtection="1">
      <alignment horizontal="left" vertical="top" wrapText="1"/>
    </xf>
    <xf numFmtId="169" fontId="40" fillId="0" borderId="0" xfId="1" applyNumberFormat="1" applyFont="1" applyBorder="1" applyAlignment="1" applyProtection="1">
      <alignment vertical="top"/>
    </xf>
    <xf numFmtId="169" fontId="40" fillId="0" borderId="0" xfId="0" applyFont="1" applyAlignment="1">
      <alignment vertical="top"/>
    </xf>
    <xf numFmtId="169" fontId="38" fillId="0" borderId="0" xfId="0" applyFont="1" applyAlignment="1">
      <alignment vertical="center"/>
    </xf>
    <xf numFmtId="169" fontId="57" fillId="0" borderId="0" xfId="0" applyFont="1" applyAlignment="1">
      <alignment vertical="center"/>
    </xf>
    <xf numFmtId="169" fontId="32" fillId="0" borderId="0" xfId="0" applyFont="1" applyAlignment="1">
      <alignment vertical="top"/>
    </xf>
    <xf numFmtId="169" fontId="32" fillId="0" borderId="0" xfId="0" applyFont="1" applyAlignment="1">
      <alignment vertical="center"/>
    </xf>
    <xf numFmtId="169" fontId="24" fillId="0" borderId="0" xfId="0" applyFont="1"/>
    <xf numFmtId="169" fontId="58" fillId="0" borderId="0" xfId="1" applyNumberFormat="1" applyFont="1" applyAlignment="1" applyProtection="1">
      <alignment vertical="top"/>
    </xf>
    <xf numFmtId="169" fontId="59" fillId="0" borderId="0" xfId="0" applyFont="1" applyAlignment="1">
      <alignment vertical="top"/>
    </xf>
    <xf numFmtId="169" fontId="58" fillId="0" borderId="0" xfId="1" applyNumberFormat="1" applyFont="1" applyBorder="1" applyAlignment="1" applyProtection="1">
      <alignment vertical="top"/>
    </xf>
    <xf numFmtId="169" fontId="59" fillId="0" borderId="0" xfId="0" applyFont="1" applyAlignment="1">
      <alignment vertical="center"/>
    </xf>
    <xf numFmtId="169" fontId="59" fillId="0" borderId="0" xfId="0" applyFont="1"/>
    <xf numFmtId="169" fontId="60" fillId="0" borderId="0" xfId="1" applyNumberFormat="1" applyFont="1" applyBorder="1" applyAlignment="1" applyProtection="1">
      <alignment horizontal="left" vertical="top"/>
    </xf>
    <xf numFmtId="169" fontId="61" fillId="0" borderId="0" xfId="0" applyFont="1" applyAlignment="1">
      <alignment vertical="top"/>
    </xf>
    <xf numFmtId="169" fontId="61" fillId="0" borderId="0" xfId="0" applyFont="1" applyAlignment="1">
      <alignment vertical="center"/>
    </xf>
    <xf numFmtId="169" fontId="61" fillId="0" borderId="0" xfId="0" applyFont="1"/>
    <xf numFmtId="169" fontId="60" fillId="0" borderId="0" xfId="1" applyNumberFormat="1" applyFont="1" applyBorder="1" applyAlignment="1" applyProtection="1">
      <alignment vertical="top"/>
    </xf>
    <xf numFmtId="169" fontId="60" fillId="0" borderId="0" xfId="1" applyNumberFormat="1" applyFont="1" applyAlignment="1" applyProtection="1">
      <alignment vertical="top"/>
    </xf>
    <xf numFmtId="0" fontId="63" fillId="39" borderId="15" xfId="59" applyFont="1" applyFill="1" applyBorder="1" applyAlignment="1">
      <alignment horizontal="left" vertical="center" indent="1"/>
    </xf>
    <xf numFmtId="0" fontId="65" fillId="39" borderId="16" xfId="59" applyFont="1" applyFill="1" applyBorder="1" applyAlignment="1">
      <alignment vertical="center"/>
    </xf>
    <xf numFmtId="1" fontId="65" fillId="39" borderId="16" xfId="59" applyNumberFormat="1" applyFont="1" applyFill="1" applyBorder="1" applyAlignment="1">
      <alignment horizontal="center" vertical="center"/>
    </xf>
    <xf numFmtId="1" fontId="66" fillId="39" borderId="16" xfId="59" applyNumberFormat="1" applyFont="1" applyFill="1" applyBorder="1" applyAlignment="1">
      <alignment horizontal="center" vertical="center"/>
    </xf>
    <xf numFmtId="0" fontId="66" fillId="39" borderId="16" xfId="59" applyFont="1" applyFill="1" applyBorder="1" applyAlignment="1">
      <alignment horizontal="center" vertical="center"/>
    </xf>
    <xf numFmtId="0" fontId="65" fillId="39" borderId="16" xfId="59" applyFont="1" applyFill="1" applyBorder="1" applyAlignment="1">
      <alignment horizontal="left" vertical="center" indent="1"/>
    </xf>
    <xf numFmtId="0" fontId="65" fillId="0" borderId="0" xfId="60" applyFont="1" applyAlignment="1">
      <alignment vertical="center"/>
    </xf>
    <xf numFmtId="10" fontId="69" fillId="40" borderId="19" xfId="47" applyNumberFormat="1" applyFont="1" applyFill="1" applyBorder="1" applyAlignment="1">
      <alignment horizontal="right" vertical="center"/>
    </xf>
    <xf numFmtId="10" fontId="69" fillId="40" borderId="19" xfId="47" applyNumberFormat="1" applyFont="1" applyFill="1" applyBorder="1" applyAlignment="1">
      <alignment vertical="center"/>
    </xf>
    <xf numFmtId="10" fontId="70" fillId="40" borderId="19" xfId="47" applyNumberFormat="1" applyFont="1" applyFill="1" applyBorder="1" applyAlignment="1" applyProtection="1">
      <alignment horizontal="left" vertical="center" indent="1"/>
      <protection locked="0"/>
    </xf>
    <xf numFmtId="10" fontId="71" fillId="0" borderId="0" xfId="47" applyNumberFormat="1" applyFont="1" applyFill="1" applyBorder="1" applyAlignment="1" applyProtection="1">
      <alignment vertical="center"/>
      <protection locked="0"/>
    </xf>
    <xf numFmtId="38" fontId="72" fillId="38" borderId="20" xfId="0" applyNumberFormat="1" applyFont="1" applyFill="1" applyBorder="1" applyAlignment="1">
      <alignment horizontal="left" vertical="center"/>
    </xf>
    <xf numFmtId="39" fontId="72" fillId="0" borderId="21" xfId="61" applyNumberFormat="1" applyFont="1" applyBorder="1" applyAlignment="1">
      <alignment horizontal="left" vertical="center" indent="1"/>
    </xf>
    <xf numFmtId="38" fontId="72" fillId="0" borderId="22" xfId="47" applyNumberFormat="1" applyFont="1" applyFill="1" applyBorder="1" applyAlignment="1">
      <alignment horizontal="right" vertical="center"/>
    </xf>
    <xf numFmtId="38" fontId="72" fillId="0" borderId="23" xfId="47" applyNumberFormat="1" applyFont="1" applyFill="1" applyBorder="1" applyAlignment="1">
      <alignment horizontal="right" vertical="center"/>
    </xf>
    <xf numFmtId="38" fontId="72" fillId="4" borderId="24" xfId="0" applyNumberFormat="1" applyFont="1" applyFill="1" applyBorder="1" applyAlignment="1">
      <alignment horizontal="left" vertical="center"/>
    </xf>
    <xf numFmtId="38" fontId="72" fillId="0" borderId="0" xfId="0" applyNumberFormat="1" applyFont="1" applyAlignment="1">
      <alignment vertical="center"/>
    </xf>
    <xf numFmtId="177" fontId="73" fillId="38" borderId="20" xfId="47" applyNumberFormat="1" applyFont="1" applyFill="1" applyBorder="1" applyAlignment="1">
      <alignment horizontal="left" vertical="center"/>
    </xf>
    <xf numFmtId="177" fontId="73" fillId="0" borderId="25" xfId="47" applyNumberFormat="1" applyFont="1" applyFill="1" applyBorder="1" applyAlignment="1">
      <alignment horizontal="left" vertical="center" indent="2"/>
    </xf>
    <xf numFmtId="177" fontId="73" fillId="0" borderId="26" xfId="47" applyNumberFormat="1" applyFont="1" applyFill="1" applyBorder="1" applyAlignment="1">
      <alignment horizontal="right" vertical="center"/>
    </xf>
    <xf numFmtId="178" fontId="73" fillId="0" borderId="26" xfId="47" applyNumberFormat="1" applyFont="1" applyFill="1" applyBorder="1" applyAlignment="1">
      <alignment horizontal="right" vertical="center"/>
    </xf>
    <xf numFmtId="177" fontId="73" fillId="0" borderId="27" xfId="47" applyNumberFormat="1" applyFont="1" applyFill="1" applyBorder="1" applyAlignment="1">
      <alignment horizontal="right" vertical="center"/>
    </xf>
    <xf numFmtId="177" fontId="73" fillId="4" borderId="28" xfId="47" applyNumberFormat="1" applyFont="1" applyFill="1" applyBorder="1" applyAlignment="1">
      <alignment horizontal="left" vertical="center"/>
    </xf>
    <xf numFmtId="177" fontId="73" fillId="0" borderId="0" xfId="47" applyNumberFormat="1" applyFont="1" applyFill="1" applyBorder="1" applyAlignment="1">
      <alignment horizontal="right" vertical="center"/>
    </xf>
    <xf numFmtId="179" fontId="76" fillId="38" borderId="20" xfId="0" applyNumberFormat="1" applyFont="1" applyFill="1" applyBorder="1" applyAlignment="1">
      <alignment horizontal="left" vertical="center"/>
    </xf>
    <xf numFmtId="180" fontId="76" fillId="0" borderId="29" xfId="61" applyNumberFormat="1" applyFont="1" applyBorder="1" applyAlignment="1">
      <alignment horizontal="left" vertical="center" indent="3"/>
    </xf>
    <xf numFmtId="179" fontId="76" fillId="0" borderId="26" xfId="61" applyNumberFormat="1" applyFont="1" applyBorder="1" applyAlignment="1">
      <alignment horizontal="right" vertical="center"/>
    </xf>
    <xf numFmtId="178" fontId="76" fillId="0" borderId="26" xfId="61" applyNumberFormat="1" applyFont="1" applyBorder="1" applyAlignment="1">
      <alignment horizontal="right" vertical="center"/>
    </xf>
    <xf numFmtId="178" fontId="76" fillId="0" borderId="0" xfId="0" applyNumberFormat="1" applyFont="1" applyAlignment="1">
      <alignment horizontal="right" vertical="center"/>
    </xf>
    <xf numFmtId="179" fontId="76" fillId="0" borderId="30" xfId="0" applyNumberFormat="1" applyFont="1" applyBorder="1" applyAlignment="1">
      <alignment vertical="center"/>
    </xf>
    <xf numFmtId="179" fontId="76" fillId="4" borderId="28" xfId="0" applyNumberFormat="1" applyFont="1" applyFill="1" applyBorder="1" applyAlignment="1">
      <alignment horizontal="left" vertical="center"/>
    </xf>
    <xf numFmtId="179" fontId="76" fillId="0" borderId="0" xfId="0" applyNumberFormat="1" applyFont="1" applyAlignment="1">
      <alignment vertical="center"/>
    </xf>
    <xf numFmtId="179" fontId="76" fillId="0" borderId="27" xfId="61" applyNumberFormat="1" applyFont="1" applyBorder="1" applyAlignment="1">
      <alignment horizontal="right" vertical="center"/>
    </xf>
    <xf numFmtId="37" fontId="76" fillId="0" borderId="29" xfId="61" applyNumberFormat="1" applyFont="1" applyBorder="1" applyAlignment="1">
      <alignment horizontal="left" vertical="center" indent="3"/>
    </xf>
    <xf numFmtId="39" fontId="76" fillId="0" borderId="29" xfId="61" applyNumberFormat="1" applyFont="1" applyBorder="1" applyAlignment="1">
      <alignment horizontal="left" vertical="center" indent="3"/>
    </xf>
    <xf numFmtId="39" fontId="72" fillId="0" borderId="29" xfId="61" applyNumberFormat="1" applyFont="1" applyBorder="1" applyAlignment="1">
      <alignment horizontal="left" vertical="center" indent="1"/>
    </xf>
    <xf numFmtId="38" fontId="72" fillId="0" borderId="26" xfId="47" applyNumberFormat="1" applyFont="1" applyFill="1" applyBorder="1" applyAlignment="1">
      <alignment horizontal="right" vertical="center"/>
    </xf>
    <xf numFmtId="38" fontId="72" fillId="0" borderId="27" xfId="47" applyNumberFormat="1" applyFont="1" applyFill="1" applyBorder="1" applyAlignment="1">
      <alignment horizontal="right" vertical="center"/>
    </xf>
    <xf numFmtId="38" fontId="72" fillId="4" borderId="28" xfId="0" applyNumberFormat="1" applyFont="1" applyFill="1" applyBorder="1" applyAlignment="1">
      <alignment horizontal="left" vertical="center"/>
    </xf>
    <xf numFmtId="0" fontId="72" fillId="0" borderId="29" xfId="0" applyNumberFormat="1" applyFont="1" applyBorder="1" applyAlignment="1">
      <alignment horizontal="left" vertical="center" indent="1"/>
    </xf>
    <xf numFmtId="38" fontId="77" fillId="0" borderId="22" xfId="47" applyNumberFormat="1" applyFont="1" applyFill="1" applyBorder="1" applyAlignment="1">
      <alignment horizontal="right" vertical="center"/>
    </xf>
    <xf numFmtId="38" fontId="72" fillId="0" borderId="31" xfId="47" applyNumberFormat="1" applyFont="1" applyFill="1" applyBorder="1" applyAlignment="1">
      <alignment horizontal="right" vertical="center"/>
    </xf>
    <xf numFmtId="9" fontId="73" fillId="38" borderId="20" xfId="47" applyFont="1" applyFill="1" applyBorder="1" applyAlignment="1">
      <alignment horizontal="left" vertical="center"/>
    </xf>
    <xf numFmtId="9" fontId="73" fillId="0" borderId="25" xfId="47" applyFont="1" applyFill="1" applyBorder="1" applyAlignment="1">
      <alignment horizontal="left" vertical="center" indent="2"/>
    </xf>
    <xf numFmtId="9" fontId="73" fillId="0" borderId="26" xfId="47" applyFont="1" applyFill="1" applyBorder="1" applyAlignment="1">
      <alignment horizontal="right" vertical="center"/>
    </xf>
    <xf numFmtId="171" fontId="73" fillId="0" borderId="26" xfId="47" applyNumberFormat="1" applyFont="1" applyFill="1" applyBorder="1" applyAlignment="1">
      <alignment horizontal="right" vertical="center"/>
    </xf>
    <xf numFmtId="9" fontId="78" fillId="0" borderId="26" xfId="47" applyFont="1" applyFill="1" applyBorder="1" applyAlignment="1">
      <alignment horizontal="right" vertical="center"/>
    </xf>
    <xf numFmtId="9" fontId="73" fillId="0" borderId="27" xfId="47" applyFont="1" applyFill="1" applyBorder="1" applyAlignment="1">
      <alignment horizontal="right" vertical="center"/>
    </xf>
    <xf numFmtId="9" fontId="73" fillId="4" borderId="28" xfId="47" applyFont="1" applyFill="1" applyBorder="1" applyAlignment="1">
      <alignment horizontal="left" vertical="center"/>
    </xf>
    <xf numFmtId="9" fontId="73" fillId="0" borderId="0" xfId="47" applyFont="1" applyFill="1" applyBorder="1" applyAlignment="1">
      <alignment vertical="center"/>
    </xf>
    <xf numFmtId="0" fontId="72" fillId="0" borderId="29" xfId="0" applyNumberFormat="1" applyFont="1" applyBorder="1" applyAlignment="1">
      <alignment horizontal="left" vertical="center" indent="2"/>
    </xf>
    <xf numFmtId="38" fontId="76" fillId="38" borderId="20" xfId="0" applyNumberFormat="1" applyFont="1" applyFill="1" applyBorder="1" applyAlignment="1">
      <alignment horizontal="left" vertical="center"/>
    </xf>
    <xf numFmtId="38" fontId="76" fillId="0" borderId="22" xfId="47" applyNumberFormat="1" applyFont="1" applyFill="1" applyBorder="1" applyAlignment="1">
      <alignment horizontal="right" vertical="center"/>
    </xf>
    <xf numFmtId="38" fontId="76" fillId="0" borderId="31" xfId="47" applyNumberFormat="1" applyFont="1" applyFill="1" applyBorder="1" applyAlignment="1">
      <alignment horizontal="right" vertical="center"/>
    </xf>
    <xf numFmtId="38" fontId="76" fillId="4" borderId="28" xfId="0" applyNumberFormat="1" applyFont="1" applyFill="1" applyBorder="1" applyAlignment="1">
      <alignment horizontal="left" vertical="center"/>
    </xf>
    <xf numFmtId="38" fontId="76" fillId="0" borderId="0" xfId="0" applyNumberFormat="1" applyFont="1" applyAlignment="1">
      <alignment vertical="center"/>
    </xf>
    <xf numFmtId="38" fontId="72" fillId="0" borderId="0" xfId="47" applyNumberFormat="1" applyFont="1" applyFill="1" applyBorder="1" applyAlignment="1">
      <alignment horizontal="right" vertical="center"/>
    </xf>
    <xf numFmtId="171" fontId="72" fillId="38" borderId="20" xfId="47" applyNumberFormat="1" applyFont="1" applyFill="1" applyBorder="1" applyAlignment="1">
      <alignment horizontal="left" vertical="center"/>
    </xf>
    <xf numFmtId="171" fontId="72" fillId="0" borderId="32" xfId="47" applyNumberFormat="1" applyFont="1" applyFill="1" applyBorder="1" applyAlignment="1" applyProtection="1">
      <alignment horizontal="left" vertical="center" indent="1"/>
      <protection locked="0"/>
    </xf>
    <xf numFmtId="171" fontId="72" fillId="0" borderId="26" xfId="47" applyNumberFormat="1" applyFont="1" applyFill="1" applyBorder="1" applyAlignment="1">
      <alignment horizontal="right" vertical="center"/>
    </xf>
    <xf numFmtId="171" fontId="72" fillId="0" borderId="27" xfId="47" applyNumberFormat="1" applyFont="1" applyFill="1" applyBorder="1" applyAlignment="1">
      <alignment horizontal="right" vertical="center"/>
    </xf>
    <xf numFmtId="171" fontId="72" fillId="4" borderId="28" xfId="47" applyNumberFormat="1" applyFont="1" applyFill="1" applyBorder="1" applyAlignment="1">
      <alignment horizontal="left" vertical="center"/>
    </xf>
    <xf numFmtId="171" fontId="72" fillId="0" borderId="0" xfId="47" applyNumberFormat="1" applyFont="1" applyFill="1" applyBorder="1" applyAlignment="1">
      <alignment vertical="center"/>
    </xf>
    <xf numFmtId="171" fontId="76" fillId="38" borderId="20" xfId="47" applyNumberFormat="1" applyFont="1" applyFill="1" applyBorder="1" applyAlignment="1">
      <alignment horizontal="left" vertical="center"/>
    </xf>
    <xf numFmtId="171" fontId="76" fillId="0" borderId="22" xfId="47" applyNumberFormat="1" applyFont="1" applyFill="1" applyBorder="1" applyAlignment="1">
      <alignment horizontal="right" vertical="center"/>
    </xf>
    <xf numFmtId="171" fontId="76" fillId="0" borderId="31" xfId="47" applyNumberFormat="1" applyFont="1" applyFill="1" applyBorder="1" applyAlignment="1">
      <alignment horizontal="right" vertical="center"/>
    </xf>
    <xf numFmtId="171" fontId="76" fillId="4" borderId="28" xfId="47" applyNumberFormat="1" applyFont="1" applyFill="1" applyBorder="1" applyAlignment="1">
      <alignment horizontal="left" vertical="center"/>
    </xf>
    <xf numFmtId="171" fontId="76" fillId="0" borderId="0" xfId="47" applyNumberFormat="1" applyFont="1" applyFill="1" applyBorder="1" applyAlignment="1">
      <alignment vertical="center"/>
    </xf>
    <xf numFmtId="10" fontId="72" fillId="38" borderId="20" xfId="47" applyNumberFormat="1" applyFont="1" applyFill="1" applyBorder="1" applyAlignment="1">
      <alignment horizontal="left" vertical="center"/>
    </xf>
    <xf numFmtId="10" fontId="72" fillId="0" borderId="33" xfId="47" applyNumberFormat="1" applyFont="1" applyFill="1" applyBorder="1" applyAlignment="1" applyProtection="1">
      <alignment horizontal="left" vertical="center" indent="1"/>
      <protection locked="0"/>
    </xf>
    <xf numFmtId="10" fontId="72" fillId="0" borderId="26" xfId="47" applyNumberFormat="1" applyFont="1" applyFill="1" applyBorder="1" applyAlignment="1">
      <alignment horizontal="right" vertical="center"/>
    </xf>
    <xf numFmtId="166" fontId="72" fillId="0" borderId="26" xfId="57" applyFont="1" applyFill="1" applyBorder="1" applyAlignment="1">
      <alignment horizontal="right" vertical="center"/>
    </xf>
    <xf numFmtId="10" fontId="72" fillId="4" borderId="28" xfId="47" applyNumberFormat="1" applyFont="1" applyFill="1" applyBorder="1" applyAlignment="1">
      <alignment horizontal="left" vertical="center"/>
    </xf>
    <xf numFmtId="10" fontId="72" fillId="0" borderId="0" xfId="47" applyNumberFormat="1" applyFont="1" applyFill="1" applyBorder="1" applyAlignment="1">
      <alignment vertical="center"/>
    </xf>
    <xf numFmtId="171" fontId="72" fillId="0" borderId="29" xfId="47" applyNumberFormat="1" applyFont="1" applyFill="1" applyBorder="1" applyAlignment="1">
      <alignment horizontal="left" vertical="center" indent="1"/>
    </xf>
    <xf numFmtId="171" fontId="79" fillId="38" borderId="20" xfId="47" applyNumberFormat="1" applyFont="1" applyFill="1" applyBorder="1" applyAlignment="1">
      <alignment horizontal="left" vertical="center"/>
    </xf>
    <xf numFmtId="171" fontId="79" fillId="0" borderId="29" xfId="47" applyNumberFormat="1" applyFont="1" applyFill="1" applyBorder="1" applyAlignment="1">
      <alignment horizontal="left" vertical="center" indent="2"/>
    </xf>
    <xf numFmtId="171" fontId="79" fillId="0" borderId="26" xfId="47" applyNumberFormat="1" applyFont="1" applyFill="1" applyBorder="1" applyAlignment="1">
      <alignment horizontal="right" vertical="center"/>
    </xf>
    <xf numFmtId="10" fontId="79" fillId="0" borderId="26" xfId="47" applyNumberFormat="1" applyFont="1" applyFill="1" applyBorder="1" applyAlignment="1">
      <alignment horizontal="right" vertical="center"/>
    </xf>
    <xf numFmtId="171" fontId="79" fillId="4" borderId="28" xfId="47" applyNumberFormat="1" applyFont="1" applyFill="1" applyBorder="1" applyAlignment="1">
      <alignment horizontal="left" vertical="center"/>
    </xf>
    <xf numFmtId="171" fontId="79" fillId="0" borderId="0" xfId="47" applyNumberFormat="1" applyFont="1" applyFill="1" applyBorder="1" applyAlignment="1">
      <alignment vertical="center"/>
    </xf>
    <xf numFmtId="37" fontId="72" fillId="0" borderId="29" xfId="0" applyNumberFormat="1" applyFont="1" applyBorder="1" applyAlignment="1" applyProtection="1">
      <alignment horizontal="left" vertical="center" indent="1"/>
      <protection locked="0"/>
    </xf>
    <xf numFmtId="38" fontId="81" fillId="38" borderId="20" xfId="0" applyNumberFormat="1" applyFont="1" applyFill="1" applyBorder="1" applyAlignment="1">
      <alignment horizontal="left" vertical="center"/>
    </xf>
    <xf numFmtId="38" fontId="81" fillId="0" borderId="29" xfId="61" applyNumberFormat="1" applyFont="1" applyBorder="1" applyAlignment="1">
      <alignment horizontal="left" vertical="center" indent="3"/>
    </xf>
    <xf numFmtId="38" fontId="81" fillId="0" borderId="26" xfId="47" applyNumberFormat="1" applyFont="1" applyFill="1" applyBorder="1" applyAlignment="1">
      <alignment horizontal="right" vertical="center"/>
    </xf>
    <xf numFmtId="38" fontId="81" fillId="0" borderId="26" xfId="61" applyNumberFormat="1" applyFont="1" applyBorder="1" applyAlignment="1">
      <alignment vertical="center"/>
    </xf>
    <xf numFmtId="38" fontId="81" fillId="0" borderId="26" xfId="61" applyNumberFormat="1" applyFont="1" applyBorder="1" applyAlignment="1">
      <alignment horizontal="right" vertical="center"/>
    </xf>
    <xf numFmtId="38" fontId="81" fillId="0" borderId="27" xfId="61" applyNumberFormat="1" applyFont="1" applyBorder="1" applyAlignment="1">
      <alignment horizontal="right" vertical="center"/>
    </xf>
    <xf numFmtId="38" fontId="81" fillId="4" borderId="28" xfId="0" applyNumberFormat="1" applyFont="1" applyFill="1" applyBorder="1" applyAlignment="1">
      <alignment horizontal="left" vertical="center"/>
    </xf>
    <xf numFmtId="38" fontId="81" fillId="0" borderId="0" xfId="0" applyNumberFormat="1" applyFont="1" applyAlignment="1">
      <alignment vertical="center"/>
    </xf>
    <xf numFmtId="38" fontId="81" fillId="0" borderId="34" xfId="61" applyNumberFormat="1" applyFont="1" applyBorder="1" applyAlignment="1">
      <alignment horizontal="left" vertical="center" indent="3"/>
    </xf>
    <xf numFmtId="38" fontId="81" fillId="0" borderId="35" xfId="47" applyNumberFormat="1" applyFont="1" applyFill="1" applyBorder="1" applyAlignment="1">
      <alignment horizontal="right" vertical="center"/>
    </xf>
    <xf numFmtId="38" fontId="81" fillId="0" borderId="35" xfId="61" applyNumberFormat="1" applyFont="1" applyBorder="1" applyAlignment="1">
      <alignment vertical="center"/>
    </xf>
    <xf numFmtId="9" fontId="81" fillId="0" borderId="35" xfId="47" applyFont="1" applyFill="1" applyBorder="1" applyAlignment="1">
      <alignment vertical="center"/>
    </xf>
    <xf numFmtId="38" fontId="81" fillId="0" borderId="35" xfId="61" applyNumberFormat="1" applyFont="1" applyBorder="1" applyAlignment="1">
      <alignment horizontal="right" vertical="center"/>
    </xf>
    <xf numFmtId="38" fontId="81" fillId="0" borderId="36" xfId="61" applyNumberFormat="1" applyFont="1" applyBorder="1" applyAlignment="1">
      <alignment horizontal="right" vertical="center"/>
    </xf>
    <xf numFmtId="181" fontId="72" fillId="0" borderId="29" xfId="0" applyNumberFormat="1" applyFont="1" applyBorder="1" applyAlignment="1">
      <alignment horizontal="left" vertical="center" indent="2"/>
    </xf>
    <xf numFmtId="38" fontId="72" fillId="0" borderId="26" xfId="61" applyNumberFormat="1" applyFont="1" applyBorder="1" applyAlignment="1">
      <alignment vertical="center"/>
    </xf>
    <xf numFmtId="38" fontId="72" fillId="0" borderId="26" xfId="61" applyNumberFormat="1" applyFont="1" applyBorder="1" applyAlignment="1">
      <alignment horizontal="right" vertical="center"/>
    </xf>
    <xf numFmtId="38" fontId="72" fillId="0" borderId="27" xfId="61" applyNumberFormat="1" applyFont="1" applyBorder="1" applyAlignment="1">
      <alignment horizontal="right" vertical="center"/>
    </xf>
    <xf numFmtId="181" fontId="72" fillId="0" borderId="37" xfId="0" applyNumberFormat="1" applyFont="1" applyBorder="1" applyAlignment="1">
      <alignment horizontal="left" vertical="center" indent="1"/>
    </xf>
    <xf numFmtId="38" fontId="72" fillId="0" borderId="38" xfId="47" applyNumberFormat="1" applyFont="1" applyFill="1" applyBorder="1" applyAlignment="1">
      <alignment horizontal="right" vertical="center"/>
    </xf>
    <xf numFmtId="182" fontId="79" fillId="38" borderId="20" xfId="47" applyNumberFormat="1" applyFont="1" applyFill="1" applyBorder="1" applyAlignment="1">
      <alignment horizontal="left" vertical="center"/>
    </xf>
    <xf numFmtId="182" fontId="79" fillId="0" borderId="29" xfId="47" applyNumberFormat="1" applyFont="1" applyFill="1" applyBorder="1" applyAlignment="1">
      <alignment horizontal="left" vertical="center" indent="1"/>
    </xf>
    <xf numFmtId="166" fontId="79" fillId="0" borderId="26" xfId="57" applyFont="1" applyFill="1" applyBorder="1" applyAlignment="1">
      <alignment horizontal="right" vertical="center"/>
    </xf>
    <xf numFmtId="182" fontId="79" fillId="0" borderId="26" xfId="47" applyNumberFormat="1" applyFont="1" applyFill="1" applyBorder="1" applyAlignment="1">
      <alignment horizontal="right" vertical="center"/>
    </xf>
    <xf numFmtId="182" fontId="79" fillId="0" borderId="27" xfId="47" applyNumberFormat="1" applyFont="1" applyFill="1" applyBorder="1" applyAlignment="1">
      <alignment horizontal="right" vertical="center"/>
    </xf>
    <xf numFmtId="182" fontId="79" fillId="4" borderId="28" xfId="47" applyNumberFormat="1" applyFont="1" applyFill="1" applyBorder="1" applyAlignment="1">
      <alignment horizontal="left" vertical="center"/>
    </xf>
    <xf numFmtId="182" fontId="79" fillId="0" borderId="0" xfId="47" applyNumberFormat="1" applyFont="1" applyFill="1" applyBorder="1" applyAlignment="1">
      <alignment horizontal="right" vertical="center"/>
    </xf>
    <xf numFmtId="178" fontId="79" fillId="38" borderId="20" xfId="47" applyNumberFormat="1" applyFont="1" applyFill="1" applyBorder="1" applyAlignment="1">
      <alignment horizontal="left" vertical="center"/>
    </xf>
    <xf numFmtId="178" fontId="79" fillId="0" borderId="25" xfId="47" applyNumberFormat="1" applyFont="1" applyFill="1" applyBorder="1" applyAlignment="1">
      <alignment horizontal="left" vertical="center" indent="1"/>
    </xf>
    <xf numFmtId="178" fontId="79" fillId="0" borderId="26" xfId="47" applyNumberFormat="1" applyFont="1" applyFill="1" applyBorder="1" applyAlignment="1">
      <alignment horizontal="right" vertical="center"/>
    </xf>
    <xf numFmtId="178" fontId="79" fillId="0" borderId="27" xfId="47" applyNumberFormat="1" applyFont="1" applyFill="1" applyBorder="1" applyAlignment="1">
      <alignment horizontal="right" vertical="center"/>
    </xf>
    <xf numFmtId="178" fontId="79" fillId="4" borderId="28" xfId="47" applyNumberFormat="1" applyFont="1" applyFill="1" applyBorder="1" applyAlignment="1">
      <alignment horizontal="left" vertical="center"/>
    </xf>
    <xf numFmtId="178" fontId="79" fillId="0" borderId="0" xfId="47" applyNumberFormat="1" applyFont="1" applyFill="1" applyBorder="1" applyAlignment="1">
      <alignment horizontal="right" vertical="center"/>
    </xf>
    <xf numFmtId="178" fontId="79" fillId="0" borderId="39" xfId="47" applyNumberFormat="1" applyFont="1" applyFill="1" applyBorder="1" applyAlignment="1">
      <alignment horizontal="left" vertical="center" indent="1"/>
    </xf>
    <xf numFmtId="178" fontId="79" fillId="0" borderId="35" xfId="47" applyNumberFormat="1" applyFont="1" applyFill="1" applyBorder="1" applyAlignment="1">
      <alignment horizontal="right" vertical="center"/>
    </xf>
    <xf numFmtId="166" fontId="79" fillId="0" borderId="35" xfId="57" applyFont="1" applyFill="1" applyBorder="1" applyAlignment="1">
      <alignment horizontal="right" vertical="center"/>
    </xf>
    <xf numFmtId="178" fontId="79" fillId="0" borderId="36" xfId="47" applyNumberFormat="1" applyFont="1" applyFill="1" applyBorder="1" applyAlignment="1">
      <alignment horizontal="right" vertical="center"/>
    </xf>
    <xf numFmtId="38" fontId="79" fillId="38" borderId="20" xfId="0" applyNumberFormat="1" applyFont="1" applyFill="1" applyBorder="1" applyAlignment="1">
      <alignment horizontal="left" vertical="center"/>
    </xf>
    <xf numFmtId="39" fontId="79" fillId="0" borderId="29" xfId="61" applyNumberFormat="1" applyFont="1" applyBorder="1" applyAlignment="1">
      <alignment horizontal="left" vertical="center" indent="1"/>
    </xf>
    <xf numFmtId="38" fontId="79" fillId="0" borderId="26" xfId="47" applyNumberFormat="1" applyFont="1" applyFill="1" applyBorder="1" applyAlignment="1">
      <alignment horizontal="right" vertical="center"/>
    </xf>
    <xf numFmtId="38" fontId="79" fillId="0" borderId="27" xfId="47" applyNumberFormat="1" applyFont="1" applyFill="1" applyBorder="1" applyAlignment="1">
      <alignment horizontal="right" vertical="center"/>
    </xf>
    <xf numFmtId="38" fontId="79" fillId="4" borderId="28" xfId="0" applyNumberFormat="1" applyFont="1" applyFill="1" applyBorder="1" applyAlignment="1">
      <alignment horizontal="left" vertical="center"/>
    </xf>
    <xf numFmtId="38" fontId="79" fillId="0" borderId="0" xfId="0" applyNumberFormat="1" applyFont="1" applyAlignment="1">
      <alignment vertical="center"/>
    </xf>
    <xf numFmtId="181" fontId="79" fillId="0" borderId="29" xfId="0" applyNumberFormat="1" applyFont="1" applyBorder="1" applyAlignment="1">
      <alignment horizontal="left" vertical="center" indent="1"/>
    </xf>
    <xf numFmtId="10" fontId="72" fillId="0" borderId="32" xfId="47" applyNumberFormat="1" applyFont="1" applyFill="1" applyBorder="1" applyAlignment="1" applyProtection="1">
      <alignment horizontal="left" vertical="center" indent="1"/>
      <protection locked="0"/>
    </xf>
    <xf numFmtId="10" fontId="72" fillId="0" borderId="27" xfId="47" applyNumberFormat="1" applyFont="1" applyFill="1" applyBorder="1" applyAlignment="1">
      <alignment horizontal="right" vertical="center"/>
    </xf>
    <xf numFmtId="178" fontId="72" fillId="38" borderId="20" xfId="47" applyNumberFormat="1" applyFont="1" applyFill="1" applyBorder="1" applyAlignment="1">
      <alignment horizontal="left" vertical="center"/>
    </xf>
    <xf numFmtId="37" fontId="72" fillId="0" borderId="29" xfId="0" applyNumberFormat="1" applyFont="1" applyBorder="1" applyAlignment="1" applyProtection="1">
      <alignment horizontal="left" vertical="center" indent="2"/>
      <protection locked="0"/>
    </xf>
    <xf numFmtId="37" fontId="72" fillId="0" borderId="26" xfId="0" applyNumberFormat="1" applyFont="1" applyBorder="1" applyAlignment="1">
      <alignment horizontal="right" vertical="center"/>
    </xf>
    <xf numFmtId="37" fontId="72" fillId="0" borderId="26" xfId="0" applyNumberFormat="1" applyFont="1" applyBorder="1" applyAlignment="1">
      <alignment vertical="center"/>
    </xf>
    <xf numFmtId="37" fontId="72" fillId="0" borderId="27" xfId="0" applyNumberFormat="1" applyFont="1" applyBorder="1" applyAlignment="1">
      <alignment vertical="center"/>
    </xf>
    <xf numFmtId="178" fontId="72" fillId="4" borderId="28" xfId="47" applyNumberFormat="1" applyFont="1" applyFill="1" applyBorder="1" applyAlignment="1">
      <alignment horizontal="left" vertical="center"/>
    </xf>
    <xf numFmtId="37" fontId="72" fillId="0" borderId="0" xfId="0" applyNumberFormat="1" applyFont="1" applyAlignment="1" applyProtection="1">
      <alignment vertical="center"/>
      <protection locked="0"/>
    </xf>
    <xf numFmtId="37" fontId="81" fillId="0" borderId="29" xfId="0" applyNumberFormat="1" applyFont="1" applyBorder="1" applyAlignment="1">
      <alignment horizontal="left" vertical="center" indent="3"/>
    </xf>
    <xf numFmtId="37" fontId="81" fillId="0" borderId="26" xfId="0" applyNumberFormat="1" applyFont="1" applyBorder="1" applyAlignment="1">
      <alignment horizontal="right" vertical="center"/>
    </xf>
    <xf numFmtId="37" fontId="81" fillId="0" borderId="27" xfId="0" applyNumberFormat="1" applyFont="1" applyBorder="1" applyAlignment="1">
      <alignment horizontal="right" vertical="center"/>
    </xf>
    <xf numFmtId="37" fontId="81" fillId="0" borderId="0" xfId="0" applyNumberFormat="1" applyFont="1" applyAlignment="1">
      <alignment vertical="center"/>
    </xf>
    <xf numFmtId="182" fontId="81" fillId="0" borderId="32" xfId="47" applyNumberFormat="1" applyFont="1" applyFill="1" applyBorder="1" applyAlignment="1">
      <alignment horizontal="left" vertical="center" indent="3"/>
    </xf>
    <xf numFmtId="10" fontId="81" fillId="0" borderId="40" xfId="47" applyNumberFormat="1" applyFont="1" applyFill="1" applyBorder="1" applyAlignment="1">
      <alignment horizontal="right" vertical="center"/>
    </xf>
    <xf numFmtId="171" fontId="81" fillId="0" borderId="40" xfId="47" applyNumberFormat="1" applyFont="1" applyFill="1" applyBorder="1" applyAlignment="1">
      <alignment horizontal="right" vertical="center"/>
    </xf>
    <xf numFmtId="182" fontId="81" fillId="0" borderId="40" xfId="47" applyNumberFormat="1" applyFont="1" applyFill="1" applyBorder="1" applyAlignment="1">
      <alignment horizontal="right" vertical="center"/>
    </xf>
    <xf numFmtId="182" fontId="81" fillId="0" borderId="41" xfId="47" applyNumberFormat="1" applyFont="1" applyFill="1" applyBorder="1" applyAlignment="1">
      <alignment horizontal="right" vertical="center"/>
    </xf>
    <xf numFmtId="182" fontId="81" fillId="0" borderId="0" xfId="47" applyNumberFormat="1" applyFont="1" applyFill="1" applyBorder="1" applyAlignment="1">
      <alignment horizontal="right" vertical="center"/>
    </xf>
    <xf numFmtId="183" fontId="81" fillId="0" borderId="29" xfId="0" applyNumberFormat="1" applyFont="1" applyBorder="1" applyAlignment="1">
      <alignment horizontal="left" vertical="center" indent="3"/>
    </xf>
    <xf numFmtId="183" fontId="81" fillId="0" borderId="26" xfId="0" applyNumberFormat="1" applyFont="1" applyBorder="1" applyAlignment="1">
      <alignment horizontal="right" vertical="center"/>
    </xf>
    <xf numFmtId="183" fontId="81" fillId="0" borderId="27" xfId="0" applyNumberFormat="1" applyFont="1" applyBorder="1" applyAlignment="1">
      <alignment horizontal="right" vertical="center"/>
    </xf>
    <xf numFmtId="183" fontId="81" fillId="0" borderId="0" xfId="0" applyNumberFormat="1" applyFont="1" applyAlignment="1">
      <alignment vertical="center"/>
    </xf>
    <xf numFmtId="37" fontId="81" fillId="0" borderId="29" xfId="0" applyNumberFormat="1" applyFont="1" applyBorder="1" applyAlignment="1">
      <alignment horizontal="left" vertical="center" indent="4"/>
    </xf>
    <xf numFmtId="37" fontId="81" fillId="0" borderId="29" xfId="0" applyNumberFormat="1" applyFont="1" applyBorder="1" applyAlignment="1">
      <alignment horizontal="left" vertical="center" indent="5"/>
    </xf>
    <xf numFmtId="178" fontId="79" fillId="38" borderId="42" xfId="47" applyNumberFormat="1" applyFont="1" applyFill="1" applyBorder="1" applyAlignment="1">
      <alignment horizontal="left" vertical="center"/>
    </xf>
    <xf numFmtId="178" fontId="79" fillId="4" borderId="43" xfId="47" applyNumberFormat="1" applyFont="1" applyFill="1" applyBorder="1" applyAlignment="1">
      <alignment horizontal="left" vertical="center"/>
    </xf>
    <xf numFmtId="40" fontId="79" fillId="41" borderId="20" xfId="0" applyNumberFormat="1" applyFont="1" applyFill="1" applyBorder="1" applyAlignment="1">
      <alignment horizontal="left" vertical="center"/>
    </xf>
    <xf numFmtId="169" fontId="84" fillId="41" borderId="0" xfId="0" applyFont="1" applyFill="1" applyAlignment="1">
      <alignment horizontal="left" vertical="center" indent="1"/>
    </xf>
    <xf numFmtId="184" fontId="79" fillId="41" borderId="0" xfId="0" applyNumberFormat="1" applyFont="1" applyFill="1" applyAlignment="1">
      <alignment horizontal="right" vertical="center"/>
    </xf>
    <xf numFmtId="184" fontId="84" fillId="41" borderId="0" xfId="0" applyNumberFormat="1" applyFont="1" applyFill="1" applyAlignment="1">
      <alignment horizontal="right" vertical="center"/>
    </xf>
    <xf numFmtId="169" fontId="84" fillId="41" borderId="0" xfId="0" applyFont="1" applyFill="1" applyAlignment="1">
      <alignment horizontal="left" vertical="center"/>
    </xf>
    <xf numFmtId="169" fontId="84" fillId="0" borderId="0" xfId="0" applyFont="1" applyAlignment="1">
      <alignment vertical="center"/>
    </xf>
    <xf numFmtId="10" fontId="71" fillId="42" borderId="45" xfId="47" applyNumberFormat="1" applyFont="1" applyFill="1" applyBorder="1" applyAlignment="1">
      <alignment horizontal="right" vertical="center"/>
    </xf>
    <xf numFmtId="10" fontId="71" fillId="42" borderId="45" xfId="47" applyNumberFormat="1" applyFont="1" applyFill="1" applyBorder="1" applyAlignment="1">
      <alignment vertical="center"/>
    </xf>
    <xf numFmtId="10" fontId="68" fillId="42" borderId="45" xfId="47" applyNumberFormat="1" applyFont="1" applyFill="1" applyBorder="1" applyAlignment="1" applyProtection="1">
      <alignment horizontal="left" vertical="center" indent="1"/>
      <protection locked="0"/>
    </xf>
    <xf numFmtId="178" fontId="79" fillId="4" borderId="20" xfId="47" applyNumberFormat="1" applyFont="1" applyFill="1" applyBorder="1" applyAlignment="1">
      <alignment horizontal="left" vertical="center"/>
    </xf>
    <xf numFmtId="10" fontId="72" fillId="0" borderId="46" xfId="47" applyNumberFormat="1" applyFont="1" applyFill="1" applyBorder="1" applyAlignment="1" applyProtection="1">
      <alignment horizontal="left" vertical="center" indent="1"/>
      <protection locked="0"/>
    </xf>
    <xf numFmtId="10" fontId="72" fillId="0" borderId="47" xfId="47" applyNumberFormat="1" applyFont="1" applyFill="1" applyBorder="1" applyAlignment="1">
      <alignment horizontal="right" vertical="center"/>
    </xf>
    <xf numFmtId="171" fontId="72" fillId="0" borderId="47" xfId="47" applyNumberFormat="1" applyFont="1" applyFill="1" applyBorder="1" applyAlignment="1">
      <alignment horizontal="right" vertical="center"/>
    </xf>
    <xf numFmtId="171" fontId="72" fillId="0" borderId="47" xfId="47" applyNumberFormat="1" applyFont="1" applyFill="1" applyBorder="1" applyAlignment="1">
      <alignment vertical="center"/>
    </xf>
    <xf numFmtId="10" fontId="72" fillId="0" borderId="47" xfId="47" applyNumberFormat="1" applyFont="1" applyFill="1" applyBorder="1" applyAlignment="1">
      <alignment vertical="center"/>
    </xf>
    <xf numFmtId="40" fontId="79" fillId="4" borderId="24" xfId="0" applyNumberFormat="1" applyFont="1" applyFill="1" applyBorder="1" applyAlignment="1">
      <alignment horizontal="left" vertical="center"/>
    </xf>
    <xf numFmtId="10" fontId="72" fillId="0" borderId="0" xfId="47" applyNumberFormat="1" applyFont="1" applyFill="1" applyBorder="1" applyAlignment="1" applyProtection="1">
      <alignment vertical="center"/>
      <protection locked="0"/>
    </xf>
    <xf numFmtId="182" fontId="79" fillId="0" borderId="48" xfId="47" applyNumberFormat="1" applyFont="1" applyFill="1" applyBorder="1" applyAlignment="1">
      <alignment horizontal="left" vertical="center" indent="3"/>
    </xf>
    <xf numFmtId="10" fontId="79" fillId="0" borderId="40" xfId="47" applyNumberFormat="1" applyFont="1" applyFill="1" applyBorder="1" applyAlignment="1">
      <alignment horizontal="right" vertical="center"/>
    </xf>
    <xf numFmtId="171" fontId="79" fillId="0" borderId="40" xfId="47" applyNumberFormat="1" applyFont="1" applyFill="1" applyBorder="1" applyAlignment="1">
      <alignment horizontal="right" vertical="center"/>
    </xf>
    <xf numFmtId="182" fontId="79" fillId="0" borderId="40" xfId="47" applyNumberFormat="1" applyFont="1" applyFill="1" applyBorder="1" applyAlignment="1">
      <alignment horizontal="right" vertical="center"/>
    </xf>
    <xf numFmtId="40" fontId="79" fillId="4" borderId="28" xfId="0" applyNumberFormat="1" applyFont="1" applyFill="1" applyBorder="1" applyAlignment="1">
      <alignment horizontal="left" vertical="center"/>
    </xf>
    <xf numFmtId="171" fontId="81" fillId="0" borderId="40" xfId="47" applyNumberFormat="1" applyFont="1" applyFill="1" applyBorder="1" applyAlignment="1">
      <alignment horizontal="right" vertical="center" indent="1"/>
    </xf>
    <xf numFmtId="10" fontId="72" fillId="0" borderId="48" xfId="47" applyNumberFormat="1" applyFont="1" applyFill="1" applyBorder="1" applyAlignment="1" applyProtection="1">
      <alignment horizontal="left" vertical="center" indent="2"/>
      <protection locked="0"/>
    </xf>
    <xf numFmtId="10" fontId="72" fillId="0" borderId="49" xfId="47" applyNumberFormat="1" applyFont="1" applyFill="1" applyBorder="1" applyAlignment="1">
      <alignment horizontal="right" vertical="center"/>
    </xf>
    <xf numFmtId="171" fontId="72" fillId="0" borderId="49" xfId="47" applyNumberFormat="1" applyFont="1" applyFill="1" applyBorder="1" applyAlignment="1">
      <alignment horizontal="right" vertical="center"/>
    </xf>
    <xf numFmtId="10" fontId="72" fillId="0" borderId="49" xfId="47" applyNumberFormat="1" applyFont="1" applyFill="1" applyBorder="1" applyAlignment="1">
      <alignment vertical="center"/>
    </xf>
    <xf numFmtId="10" fontId="72" fillId="0" borderId="48" xfId="47" applyNumberFormat="1" applyFont="1" applyFill="1" applyBorder="1" applyAlignment="1" applyProtection="1">
      <alignment horizontal="left" vertical="center" indent="1"/>
      <protection locked="0"/>
    </xf>
    <xf numFmtId="10" fontId="72" fillId="0" borderId="50" xfId="47" applyNumberFormat="1" applyFont="1" applyFill="1" applyBorder="1" applyAlignment="1">
      <alignment horizontal="right" vertical="center"/>
    </xf>
    <xf numFmtId="171" fontId="72" fillId="0" borderId="50" xfId="47" applyNumberFormat="1" applyFont="1" applyFill="1" applyBorder="1" applyAlignment="1">
      <alignment horizontal="right" vertical="center"/>
    </xf>
    <xf numFmtId="10" fontId="72" fillId="0" borderId="50" xfId="47" applyNumberFormat="1" applyFont="1" applyFill="1" applyBorder="1" applyAlignment="1">
      <alignment vertical="center"/>
    </xf>
    <xf numFmtId="10" fontId="72" fillId="0" borderId="40" xfId="47" applyNumberFormat="1" applyFont="1" applyFill="1" applyBorder="1" applyAlignment="1">
      <alignment horizontal="right" vertical="center"/>
    </xf>
    <xf numFmtId="171" fontId="72" fillId="0" borderId="40" xfId="47" applyNumberFormat="1" applyFont="1" applyFill="1" applyBorder="1" applyAlignment="1">
      <alignment horizontal="right" vertical="center"/>
    </xf>
    <xf numFmtId="10" fontId="72" fillId="0" borderId="40" xfId="47" applyNumberFormat="1" applyFont="1" applyFill="1" applyBorder="1" applyAlignment="1">
      <alignment vertical="center"/>
    </xf>
    <xf numFmtId="182" fontId="72" fillId="0" borderId="48" xfId="47" applyNumberFormat="1" applyFont="1" applyFill="1" applyBorder="1" applyAlignment="1">
      <alignment horizontal="left" vertical="center" indent="1"/>
    </xf>
    <xf numFmtId="171" fontId="72" fillId="0" borderId="40" xfId="47" applyNumberFormat="1" applyFont="1" applyFill="1" applyBorder="1" applyAlignment="1">
      <alignment vertical="center"/>
    </xf>
    <xf numFmtId="37" fontId="79" fillId="0" borderId="48" xfId="0" applyNumberFormat="1" applyFont="1" applyBorder="1" applyAlignment="1" applyProtection="1">
      <alignment horizontal="left" vertical="center" indent="1"/>
      <protection locked="0"/>
    </xf>
    <xf numFmtId="171" fontId="72" fillId="0" borderId="26" xfId="57" applyNumberFormat="1" applyFont="1" applyFill="1" applyBorder="1" applyAlignment="1">
      <alignment horizontal="right" vertical="center"/>
    </xf>
    <xf numFmtId="185" fontId="72" fillId="0" borderId="26" xfId="47" applyNumberFormat="1" applyFont="1" applyFill="1" applyBorder="1" applyAlignment="1">
      <alignment vertical="center"/>
    </xf>
    <xf numFmtId="182" fontId="79" fillId="0" borderId="48" xfId="61" applyNumberFormat="1" applyFont="1" applyBorder="1" applyAlignment="1">
      <alignment horizontal="left" vertical="center" indent="2"/>
    </xf>
    <xf numFmtId="171" fontId="79" fillId="0" borderId="26" xfId="47" applyNumberFormat="1" applyFont="1" applyFill="1" applyBorder="1" applyAlignment="1">
      <alignment vertical="center"/>
    </xf>
    <xf numFmtId="182" fontId="79" fillId="0" borderId="26" xfId="47" applyNumberFormat="1" applyFont="1" applyFill="1" applyBorder="1" applyAlignment="1">
      <alignment vertical="center"/>
    </xf>
    <xf numFmtId="182" fontId="72" fillId="0" borderId="0" xfId="0" applyNumberFormat="1" applyFont="1" applyAlignment="1" applyProtection="1">
      <alignment vertical="center"/>
      <protection locked="0"/>
    </xf>
    <xf numFmtId="171" fontId="72" fillId="0" borderId="26" xfId="47" applyNumberFormat="1" applyFont="1" applyFill="1" applyBorder="1" applyAlignment="1">
      <alignment vertical="center"/>
    </xf>
    <xf numFmtId="182" fontId="72" fillId="0" borderId="26" xfId="47" applyNumberFormat="1" applyFont="1" applyFill="1" applyBorder="1" applyAlignment="1">
      <alignment horizontal="right" vertical="center"/>
    </xf>
    <xf numFmtId="182" fontId="72" fillId="0" borderId="0" xfId="47" applyNumberFormat="1" applyFont="1" applyFill="1" applyBorder="1" applyAlignment="1">
      <alignment horizontal="right" vertical="center"/>
    </xf>
    <xf numFmtId="10" fontId="72" fillId="0" borderId="0" xfId="47" applyNumberFormat="1" applyFont="1" applyFill="1" applyBorder="1" applyAlignment="1">
      <alignment horizontal="right" vertical="center"/>
    </xf>
    <xf numFmtId="171" fontId="72" fillId="0" borderId="0" xfId="47" applyNumberFormat="1" applyFont="1" applyFill="1" applyBorder="1" applyAlignment="1">
      <alignment horizontal="right" vertical="center"/>
    </xf>
    <xf numFmtId="182" fontId="72" fillId="0" borderId="51" xfId="47" applyNumberFormat="1" applyFont="1" applyFill="1" applyBorder="1" applyAlignment="1">
      <alignment horizontal="left" vertical="center" indent="1"/>
    </xf>
    <xf numFmtId="10" fontId="72" fillId="0" borderId="35" xfId="47" applyNumberFormat="1" applyFont="1" applyFill="1" applyBorder="1" applyAlignment="1">
      <alignment horizontal="right" vertical="center"/>
    </xf>
    <xf numFmtId="182" fontId="72" fillId="0" borderId="35" xfId="47" applyNumberFormat="1" applyFont="1" applyFill="1" applyBorder="1" applyAlignment="1">
      <alignment horizontal="right" vertical="center"/>
    </xf>
    <xf numFmtId="10" fontId="71" fillId="43" borderId="45" xfId="47" applyNumberFormat="1" applyFont="1" applyFill="1" applyBorder="1" applyAlignment="1">
      <alignment horizontal="right" vertical="center"/>
    </xf>
    <xf numFmtId="10" fontId="71" fillId="43" borderId="45" xfId="47" applyNumberFormat="1" applyFont="1" applyFill="1" applyBorder="1" applyAlignment="1">
      <alignment vertical="center"/>
    </xf>
    <xf numFmtId="10" fontId="68" fillId="43" borderId="45" xfId="47" applyNumberFormat="1" applyFont="1" applyFill="1" applyBorder="1" applyAlignment="1" applyProtection="1">
      <alignment horizontal="left" vertical="center" indent="1"/>
      <protection locked="0"/>
    </xf>
    <xf numFmtId="40" fontId="79" fillId="4" borderId="20" xfId="0" applyNumberFormat="1" applyFont="1" applyFill="1" applyBorder="1" applyAlignment="1">
      <alignment horizontal="left" vertical="center"/>
    </xf>
    <xf numFmtId="186" fontId="72" fillId="0" borderId="52" xfId="0" applyNumberFormat="1" applyFont="1" applyBorder="1" applyAlignment="1">
      <alignment horizontal="left" vertical="center" indent="1"/>
    </xf>
    <xf numFmtId="186" fontId="72" fillId="0" borderId="26" xfId="0" applyNumberFormat="1" applyFont="1" applyBorder="1" applyAlignment="1">
      <alignment horizontal="right" vertical="center" wrapText="1"/>
    </xf>
    <xf numFmtId="186" fontId="72" fillId="0" borderId="26" xfId="0" applyNumberFormat="1" applyFont="1" applyBorder="1" applyAlignment="1">
      <alignment horizontal="right" vertical="center"/>
    </xf>
    <xf numFmtId="186" fontId="72" fillId="0" borderId="0" xfId="0" applyNumberFormat="1" applyFont="1" applyAlignment="1">
      <alignment vertical="center"/>
    </xf>
    <xf numFmtId="40" fontId="79" fillId="0" borderId="20" xfId="0" applyNumberFormat="1" applyFont="1" applyBorder="1" applyAlignment="1">
      <alignment horizontal="left" vertical="center"/>
    </xf>
    <xf numFmtId="177" fontId="79" fillId="0" borderId="53" xfId="47" applyNumberFormat="1" applyFont="1" applyFill="1" applyBorder="1" applyAlignment="1">
      <alignment horizontal="left" vertical="center" indent="2"/>
    </xf>
    <xf numFmtId="177" fontId="79" fillId="0" borderId="26" xfId="47" applyNumberFormat="1" applyFont="1" applyFill="1" applyBorder="1" applyAlignment="1">
      <alignment horizontal="right" vertical="center"/>
    </xf>
    <xf numFmtId="40" fontId="79" fillId="0" borderId="28" xfId="0" applyNumberFormat="1" applyFont="1" applyBorder="1" applyAlignment="1">
      <alignment horizontal="left" vertical="center"/>
    </xf>
    <xf numFmtId="177" fontId="79" fillId="0" borderId="0" xfId="47" applyNumberFormat="1" applyFont="1" applyFill="1" applyBorder="1" applyAlignment="1">
      <alignment horizontal="right" vertical="center"/>
    </xf>
    <xf numFmtId="178" fontId="79" fillId="0" borderId="53" xfId="47" applyNumberFormat="1" applyFont="1" applyFill="1" applyBorder="1" applyAlignment="1">
      <alignment horizontal="left" vertical="center" indent="2"/>
    </xf>
    <xf numFmtId="38" fontId="79" fillId="0" borderId="52" xfId="47" applyNumberFormat="1" applyFont="1" applyFill="1" applyBorder="1" applyAlignment="1">
      <alignment horizontal="left" vertical="center" indent="2"/>
    </xf>
    <xf numFmtId="177" fontId="79" fillId="0" borderId="52" xfId="47" applyNumberFormat="1" applyFont="1" applyFill="1" applyBorder="1" applyAlignment="1">
      <alignment horizontal="left" vertical="center" indent="1"/>
    </xf>
    <xf numFmtId="40" fontId="79" fillId="0" borderId="26" xfId="47" applyNumberFormat="1" applyFont="1" applyFill="1" applyBorder="1" applyAlignment="1">
      <alignment horizontal="right" vertical="center"/>
    </xf>
    <xf numFmtId="40" fontId="79" fillId="0" borderId="0" xfId="0" applyNumberFormat="1" applyFont="1" applyAlignment="1">
      <alignment vertical="center"/>
    </xf>
    <xf numFmtId="177" fontId="79" fillId="0" borderId="52" xfId="47" applyNumberFormat="1" applyFont="1" applyFill="1" applyBorder="1" applyAlignment="1">
      <alignment horizontal="left" vertical="center" indent="2"/>
    </xf>
    <xf numFmtId="40" fontId="79" fillId="0" borderId="53" xfId="61" applyNumberFormat="1" applyFont="1" applyBorder="1" applyAlignment="1">
      <alignment horizontal="left" vertical="center" indent="2"/>
    </xf>
    <xf numFmtId="38" fontId="84" fillId="0" borderId="26" xfId="47" applyNumberFormat="1" applyFont="1" applyFill="1" applyBorder="1" applyAlignment="1">
      <alignment horizontal="right" vertical="center"/>
    </xf>
    <xf numFmtId="38" fontId="84" fillId="0" borderId="0" xfId="0" applyNumberFormat="1" applyFont="1" applyAlignment="1">
      <alignment vertical="center"/>
    </xf>
    <xf numFmtId="38" fontId="79" fillId="0" borderId="52" xfId="47" applyNumberFormat="1" applyFont="1" applyFill="1" applyBorder="1" applyAlignment="1">
      <alignment horizontal="left" vertical="center" indent="1"/>
    </xf>
    <xf numFmtId="181" fontId="79" fillId="0" borderId="52" xfId="47" applyNumberFormat="1" applyFont="1" applyFill="1" applyBorder="1" applyAlignment="1">
      <alignment horizontal="left" vertical="center" indent="2"/>
    </xf>
    <xf numFmtId="181" fontId="79" fillId="0" borderId="26" xfId="47" applyNumberFormat="1" applyFont="1" applyFill="1" applyBorder="1" applyAlignment="1">
      <alignment horizontal="right" vertical="center"/>
    </xf>
    <xf numFmtId="181" fontId="79" fillId="0" borderId="0" xfId="0" applyNumberFormat="1" applyFont="1" applyAlignment="1">
      <alignment vertical="center"/>
    </xf>
    <xf numFmtId="40" fontId="79" fillId="0" borderId="52" xfId="61" applyNumberFormat="1" applyFont="1" applyBorder="1" applyAlignment="1">
      <alignment horizontal="left" vertical="center" indent="2"/>
    </xf>
    <xf numFmtId="187" fontId="79" fillId="0" borderId="54" xfId="61" applyNumberFormat="1" applyFont="1" applyBorder="1" applyAlignment="1">
      <alignment horizontal="left" vertical="center"/>
    </xf>
    <xf numFmtId="185" fontId="79" fillId="0" borderId="35" xfId="47" applyNumberFormat="1" applyFont="1" applyFill="1" applyBorder="1" applyAlignment="1">
      <alignment horizontal="right" vertical="center"/>
    </xf>
    <xf numFmtId="185" fontId="79" fillId="0" borderId="35" xfId="47" applyNumberFormat="1" applyFont="1" applyFill="1" applyBorder="1" applyAlignment="1">
      <alignment vertical="center"/>
    </xf>
    <xf numFmtId="187" fontId="79" fillId="0" borderId="0" xfId="0" applyNumberFormat="1" applyFont="1" applyAlignment="1">
      <alignment vertical="center"/>
    </xf>
    <xf numFmtId="10" fontId="71" fillId="44" borderId="45" xfId="47" applyNumberFormat="1" applyFont="1" applyFill="1" applyBorder="1" applyAlignment="1">
      <alignment horizontal="right" vertical="center"/>
    </xf>
    <xf numFmtId="10" fontId="71" fillId="44" borderId="45" xfId="47" applyNumberFormat="1" applyFont="1" applyFill="1" applyBorder="1" applyAlignment="1">
      <alignment vertical="center"/>
    </xf>
    <xf numFmtId="10" fontId="68" fillId="44" borderId="45" xfId="47" applyNumberFormat="1" applyFont="1" applyFill="1" applyBorder="1" applyAlignment="1" applyProtection="1">
      <alignment horizontal="left" vertical="center" indent="1"/>
      <protection locked="0"/>
    </xf>
    <xf numFmtId="38" fontId="76" fillId="4" borderId="20" xfId="0" applyNumberFormat="1" applyFont="1" applyFill="1" applyBorder="1" applyAlignment="1">
      <alignment horizontal="left" vertical="center"/>
    </xf>
    <xf numFmtId="181" fontId="76" fillId="0" borderId="53" xfId="0" applyNumberFormat="1" applyFont="1" applyBorder="1" applyAlignment="1">
      <alignment horizontal="left" vertical="center" indent="2"/>
    </xf>
    <xf numFmtId="37" fontId="76" fillId="0" borderId="26" xfId="47" applyNumberFormat="1" applyFont="1" applyFill="1" applyBorder="1" applyAlignment="1">
      <alignment horizontal="right" vertical="center"/>
    </xf>
    <xf numFmtId="38" fontId="76" fillId="4" borderId="24" xfId="0" applyNumberFormat="1" applyFont="1" applyFill="1" applyBorder="1" applyAlignment="1">
      <alignment horizontal="left" vertical="center"/>
    </xf>
    <xf numFmtId="38" fontId="84" fillId="4" borderId="20" xfId="0" applyNumberFormat="1" applyFont="1" applyFill="1" applyBorder="1" applyAlignment="1">
      <alignment horizontal="left" vertical="center"/>
    </xf>
    <xf numFmtId="38" fontId="84" fillId="4" borderId="28" xfId="0" applyNumberFormat="1" applyFont="1" applyFill="1" applyBorder="1" applyAlignment="1">
      <alignment horizontal="left" vertical="center"/>
    </xf>
    <xf numFmtId="38" fontId="84" fillId="0" borderId="20" xfId="0" applyNumberFormat="1" applyFont="1" applyBorder="1" applyAlignment="1">
      <alignment horizontal="left" vertical="center"/>
    </xf>
    <xf numFmtId="181" fontId="84" fillId="0" borderId="53" xfId="0" applyNumberFormat="1" applyFont="1" applyBorder="1" applyAlignment="1">
      <alignment horizontal="left" vertical="center" indent="2"/>
    </xf>
    <xf numFmtId="37" fontId="86" fillId="0" borderId="26" xfId="47" applyNumberFormat="1" applyFont="1" applyFill="1" applyBorder="1" applyAlignment="1">
      <alignment horizontal="right" vertical="center"/>
    </xf>
    <xf numFmtId="37" fontId="84" fillId="0" borderId="26" xfId="47" applyNumberFormat="1" applyFont="1" applyFill="1" applyBorder="1" applyAlignment="1">
      <alignment horizontal="right" vertical="center"/>
    </xf>
    <xf numFmtId="38" fontId="84" fillId="0" borderId="28" xfId="0" applyNumberFormat="1" applyFont="1" applyBorder="1" applyAlignment="1">
      <alignment horizontal="left" vertical="center"/>
    </xf>
    <xf numFmtId="178" fontId="84" fillId="4" borderId="20" xfId="0" applyNumberFormat="1" applyFont="1" applyFill="1" applyBorder="1" applyAlignment="1">
      <alignment horizontal="left" vertical="center"/>
    </xf>
    <xf numFmtId="188" fontId="79" fillId="0" borderId="53" xfId="61" applyNumberFormat="1" applyFont="1" applyBorder="1" applyAlignment="1">
      <alignment horizontal="left" vertical="center" indent="1"/>
    </xf>
    <xf numFmtId="178" fontId="79" fillId="0" borderId="26" xfId="47" applyNumberFormat="1" applyFont="1" applyFill="1" applyBorder="1" applyAlignment="1">
      <alignment vertical="center"/>
    </xf>
    <xf numFmtId="178" fontId="79" fillId="0" borderId="26" xfId="61" applyNumberFormat="1" applyFont="1" applyBorder="1" applyAlignment="1">
      <alignment horizontal="right" vertical="center"/>
    </xf>
    <xf numFmtId="178" fontId="84" fillId="4" borderId="28" xfId="0" applyNumberFormat="1" applyFont="1" applyFill="1" applyBorder="1" applyAlignment="1">
      <alignment horizontal="left" vertical="center"/>
    </xf>
    <xf numFmtId="178" fontId="84" fillId="0" borderId="0" xfId="0" applyNumberFormat="1" applyFont="1" applyAlignment="1">
      <alignment vertical="center"/>
    </xf>
    <xf numFmtId="177" fontId="79" fillId="4" borderId="20" xfId="0" applyNumberFormat="1" applyFont="1" applyFill="1" applyBorder="1" applyAlignment="1">
      <alignment horizontal="left" vertical="center"/>
    </xf>
    <xf numFmtId="182" fontId="79" fillId="0" borderId="53" xfId="61" applyNumberFormat="1" applyFont="1" applyBorder="1" applyAlignment="1">
      <alignment horizontal="left" vertical="center" indent="1"/>
    </xf>
    <xf numFmtId="177" fontId="79" fillId="0" borderId="26" xfId="47" applyNumberFormat="1" applyFont="1" applyFill="1" applyBorder="1" applyAlignment="1">
      <alignment horizontal="right" vertical="center" wrapText="1"/>
    </xf>
    <xf numFmtId="177" fontId="79" fillId="0" borderId="26" xfId="61" applyNumberFormat="1" applyFont="1" applyBorder="1" applyAlignment="1">
      <alignment vertical="center" wrapText="1"/>
    </xf>
    <xf numFmtId="177" fontId="79" fillId="0" borderId="26" xfId="61" applyNumberFormat="1" applyFont="1" applyBorder="1" applyAlignment="1">
      <alignment horizontal="right" vertical="center" wrapText="1"/>
    </xf>
    <xf numFmtId="177" fontId="79" fillId="4" borderId="28" xfId="0" applyNumberFormat="1" applyFont="1" applyFill="1" applyBorder="1" applyAlignment="1">
      <alignment horizontal="left" vertical="center"/>
    </xf>
    <xf numFmtId="177" fontId="79" fillId="0" borderId="0" xfId="0" applyNumberFormat="1" applyFont="1" applyAlignment="1">
      <alignment vertical="center"/>
    </xf>
    <xf numFmtId="169" fontId="87" fillId="4" borderId="20" xfId="0" applyFont="1" applyFill="1" applyBorder="1" applyAlignment="1">
      <alignment horizontal="left" vertical="center"/>
    </xf>
    <xf numFmtId="169" fontId="87" fillId="0" borderId="55" xfId="0" applyFont="1" applyBorder="1" applyAlignment="1">
      <alignment horizontal="left" vertical="center" indent="1"/>
    </xf>
    <xf numFmtId="169" fontId="83" fillId="0" borderId="0" xfId="0" applyFont="1" applyAlignment="1">
      <alignment horizontal="right" vertical="center"/>
    </xf>
    <xf numFmtId="10" fontId="83" fillId="0" borderId="0" xfId="47" applyNumberFormat="1" applyFont="1" applyFill="1" applyBorder="1" applyAlignment="1">
      <alignment horizontal="right" vertical="center"/>
    </xf>
    <xf numFmtId="169" fontId="83" fillId="0" borderId="0" xfId="0" applyFont="1" applyAlignment="1">
      <alignment vertical="center"/>
    </xf>
    <xf numFmtId="169" fontId="88" fillId="0" borderId="0" xfId="0" applyFont="1" applyAlignment="1">
      <alignment vertical="center"/>
    </xf>
    <xf numFmtId="169" fontId="89" fillId="0" borderId="0" xfId="0" applyFont="1" applyAlignment="1">
      <alignment horizontal="right" vertical="center"/>
    </xf>
    <xf numFmtId="169" fontId="87" fillId="4" borderId="28" xfId="0" applyFont="1" applyFill="1" applyBorder="1" applyAlignment="1">
      <alignment horizontal="left" vertical="center"/>
    </xf>
    <xf numFmtId="169" fontId="87" fillId="0" borderId="0" xfId="0" applyFont="1" applyAlignment="1">
      <alignment vertical="center"/>
    </xf>
    <xf numFmtId="10" fontId="71" fillId="38" borderId="45" xfId="47" applyNumberFormat="1" applyFont="1" applyFill="1" applyBorder="1" applyAlignment="1">
      <alignment horizontal="right" vertical="center"/>
    </xf>
    <xf numFmtId="10" fontId="71" fillId="38" borderId="45" xfId="47" applyNumberFormat="1" applyFont="1" applyFill="1" applyBorder="1" applyAlignment="1">
      <alignment vertical="center"/>
    </xf>
    <xf numFmtId="10" fontId="68" fillId="38" borderId="45" xfId="47" applyNumberFormat="1" applyFont="1" applyFill="1" applyBorder="1" applyAlignment="1" applyProtection="1">
      <alignment horizontal="left" vertical="center" indent="1"/>
      <protection locked="0"/>
    </xf>
    <xf numFmtId="169" fontId="84" fillId="4" borderId="20" xfId="0" applyFont="1" applyFill="1" applyBorder="1" applyAlignment="1">
      <alignment horizontal="left" vertical="center"/>
    </xf>
    <xf numFmtId="169" fontId="72" fillId="0" borderId="53" xfId="0" applyFont="1" applyBorder="1" applyAlignment="1">
      <alignment horizontal="left" vertical="center" indent="1"/>
    </xf>
    <xf numFmtId="38" fontId="72" fillId="0" borderId="26" xfId="0" applyNumberFormat="1" applyFont="1" applyBorder="1" applyAlignment="1">
      <alignment horizontal="right" vertical="center"/>
    </xf>
    <xf numFmtId="169" fontId="72" fillId="4" borderId="24" xfId="0" applyFont="1" applyFill="1" applyBorder="1" applyAlignment="1">
      <alignment horizontal="left" vertical="center"/>
    </xf>
    <xf numFmtId="169" fontId="72" fillId="0" borderId="0" xfId="0" applyFont="1" applyAlignment="1">
      <alignment vertical="center"/>
    </xf>
    <xf numFmtId="0" fontId="84" fillId="0" borderId="53" xfId="61" applyFont="1" applyBorder="1" applyAlignment="1">
      <alignment horizontal="left" vertical="center" indent="1"/>
    </xf>
    <xf numFmtId="189" fontId="84" fillId="0" borderId="26" xfId="47" applyNumberFormat="1" applyFont="1" applyFill="1" applyBorder="1" applyAlignment="1">
      <alignment horizontal="right" vertical="center"/>
    </xf>
    <xf numFmtId="169" fontId="84" fillId="4" borderId="28" xfId="0" applyFont="1" applyFill="1" applyBorder="1" applyAlignment="1">
      <alignment horizontal="left" vertical="center"/>
    </xf>
    <xf numFmtId="165" fontId="84" fillId="0" borderId="26" xfId="47" applyNumberFormat="1" applyFont="1" applyFill="1" applyBorder="1" applyAlignment="1">
      <alignment horizontal="right" vertical="center"/>
    </xf>
    <xf numFmtId="169" fontId="79" fillId="4" borderId="20" xfId="0" applyFont="1" applyFill="1" applyBorder="1" applyAlignment="1">
      <alignment horizontal="left" vertical="center"/>
    </xf>
    <xf numFmtId="0" fontId="79" fillId="0" borderId="53" xfId="61" applyFont="1" applyBorder="1" applyAlignment="1">
      <alignment horizontal="left" vertical="center" indent="1"/>
    </xf>
    <xf numFmtId="189" fontId="79" fillId="0" borderId="26" xfId="47" applyNumberFormat="1" applyFont="1" applyFill="1" applyBorder="1" applyAlignment="1">
      <alignment horizontal="right" vertical="center"/>
    </xf>
    <xf numFmtId="169" fontId="79" fillId="4" borderId="28" xfId="0" applyFont="1" applyFill="1" applyBorder="1" applyAlignment="1">
      <alignment horizontal="left" vertical="center"/>
    </xf>
    <xf numFmtId="169" fontId="79" fillId="0" borderId="0" xfId="0" applyFont="1" applyAlignment="1">
      <alignment vertical="center"/>
    </xf>
    <xf numFmtId="177" fontId="90" fillId="4" borderId="20" xfId="0" applyNumberFormat="1" applyFont="1" applyFill="1" applyBorder="1" applyAlignment="1">
      <alignment horizontal="left" vertical="center"/>
    </xf>
    <xf numFmtId="177" fontId="79" fillId="0" borderId="53" xfId="61" applyNumberFormat="1" applyFont="1" applyBorder="1" applyAlignment="1">
      <alignment horizontal="left" vertical="center" indent="2"/>
    </xf>
    <xf numFmtId="177" fontId="91" fillId="0" borderId="26" xfId="47" applyNumberFormat="1" applyFont="1" applyFill="1" applyBorder="1" applyAlignment="1">
      <alignment horizontal="right" vertical="center"/>
    </xf>
    <xf numFmtId="177" fontId="90" fillId="4" borderId="28" xfId="0" applyNumberFormat="1" applyFont="1" applyFill="1" applyBorder="1" applyAlignment="1">
      <alignment horizontal="left" vertical="center"/>
    </xf>
    <xf numFmtId="177" fontId="90" fillId="0" borderId="0" xfId="0" applyNumberFormat="1" applyFont="1" applyAlignment="1">
      <alignment vertical="center"/>
    </xf>
    <xf numFmtId="9" fontId="83" fillId="0" borderId="0" xfId="47" applyFont="1" applyFill="1" applyBorder="1" applyAlignment="1">
      <alignment horizontal="right" vertical="center"/>
    </xf>
    <xf numFmtId="10" fontId="71" fillId="45" borderId="45" xfId="47" applyNumberFormat="1" applyFont="1" applyFill="1" applyBorder="1" applyAlignment="1">
      <alignment horizontal="right" vertical="center"/>
    </xf>
    <xf numFmtId="10" fontId="71" fillId="45" borderId="45" xfId="47" applyNumberFormat="1" applyFont="1" applyFill="1" applyBorder="1" applyAlignment="1">
      <alignment vertical="center"/>
    </xf>
    <xf numFmtId="10" fontId="68" fillId="45" borderId="45" xfId="47" applyNumberFormat="1" applyFont="1" applyFill="1" applyBorder="1" applyAlignment="1" applyProtection="1">
      <alignment horizontal="left" vertical="center" indent="1"/>
      <protection locked="0"/>
    </xf>
    <xf numFmtId="169" fontId="76" fillId="4" borderId="20" xfId="0" applyFont="1" applyFill="1" applyBorder="1" applyAlignment="1">
      <alignment horizontal="left" vertical="center"/>
    </xf>
    <xf numFmtId="169" fontId="92" fillId="4" borderId="20" xfId="0" applyFont="1" applyFill="1" applyBorder="1" applyAlignment="1">
      <alignment horizontal="left" vertical="center"/>
    </xf>
    <xf numFmtId="0" fontId="93" fillId="0" borderId="53" xfId="61" applyFont="1" applyBorder="1" applyAlignment="1">
      <alignment horizontal="left" vertical="center" indent="2"/>
    </xf>
    <xf numFmtId="38" fontId="92" fillId="0" borderId="26" xfId="47" applyNumberFormat="1" applyFont="1" applyFill="1" applyBorder="1" applyAlignment="1">
      <alignment horizontal="right" vertical="center"/>
    </xf>
    <xf numFmtId="38" fontId="92" fillId="0" borderId="26" xfId="61" applyNumberFormat="1" applyFont="1" applyBorder="1" applyAlignment="1">
      <alignment horizontal="right" vertical="center"/>
    </xf>
    <xf numFmtId="169" fontId="92" fillId="4" borderId="28" xfId="0" applyFont="1" applyFill="1" applyBorder="1" applyAlignment="1">
      <alignment horizontal="left" vertical="center"/>
    </xf>
    <xf numFmtId="169" fontId="92" fillId="0" borderId="0" xfId="0" applyFont="1" applyAlignment="1">
      <alignment vertical="center"/>
    </xf>
    <xf numFmtId="169" fontId="93" fillId="4" borderId="20" xfId="0" applyFont="1" applyFill="1" applyBorder="1" applyAlignment="1">
      <alignment horizontal="left" vertical="center"/>
    </xf>
    <xf numFmtId="38" fontId="93" fillId="0" borderId="26" xfId="47" applyNumberFormat="1" applyFont="1" applyFill="1" applyBorder="1" applyAlignment="1">
      <alignment horizontal="right" vertical="center"/>
    </xf>
    <xf numFmtId="38" fontId="93" fillId="0" borderId="26" xfId="61" applyNumberFormat="1" applyFont="1" applyBorder="1" applyAlignment="1">
      <alignment horizontal="right" vertical="center"/>
    </xf>
    <xf numFmtId="169" fontId="93" fillId="4" borderId="28" xfId="0" applyFont="1" applyFill="1" applyBorder="1" applyAlignment="1">
      <alignment horizontal="left" vertical="center"/>
    </xf>
    <xf numFmtId="169" fontId="93" fillId="0" borderId="0" xfId="0" applyFont="1" applyAlignment="1">
      <alignment vertical="center"/>
    </xf>
    <xf numFmtId="0" fontId="79" fillId="0" borderId="54" xfId="61" applyFont="1" applyBorder="1" applyAlignment="1">
      <alignment horizontal="left" vertical="center" indent="2"/>
    </xf>
    <xf numFmtId="184" fontId="79" fillId="0" borderId="35" xfId="61" applyNumberFormat="1" applyFont="1" applyBorder="1" applyAlignment="1">
      <alignment horizontal="right" vertical="center"/>
    </xf>
    <xf numFmtId="10" fontId="71" fillId="46" borderId="45" xfId="47" applyNumberFormat="1" applyFont="1" applyFill="1" applyBorder="1" applyAlignment="1">
      <alignment horizontal="right" vertical="center"/>
    </xf>
    <xf numFmtId="10" fontId="71" fillId="46" borderId="45" xfId="47" applyNumberFormat="1" applyFont="1" applyFill="1" applyBorder="1" applyAlignment="1">
      <alignment vertical="center"/>
    </xf>
    <xf numFmtId="10" fontId="68" fillId="46" borderId="45" xfId="47" applyNumberFormat="1" applyFont="1" applyFill="1" applyBorder="1" applyAlignment="1" applyProtection="1">
      <alignment horizontal="left" vertical="center" indent="1"/>
      <protection locked="0"/>
    </xf>
    <xf numFmtId="169" fontId="94" fillId="4" borderId="20" xfId="0" applyFont="1" applyFill="1" applyBorder="1" applyAlignment="1">
      <alignment horizontal="left" vertical="center"/>
    </xf>
    <xf numFmtId="169" fontId="94" fillId="4" borderId="24" xfId="0" applyFont="1" applyFill="1" applyBorder="1" applyAlignment="1">
      <alignment horizontal="left" vertical="center"/>
    </xf>
    <xf numFmtId="0" fontId="93" fillId="0" borderId="56" xfId="61" applyFont="1" applyBorder="1" applyAlignment="1">
      <alignment horizontal="left" vertical="center" indent="2"/>
    </xf>
    <xf numFmtId="38" fontId="76" fillId="0" borderId="22" xfId="61" applyNumberFormat="1" applyFont="1" applyBorder="1" applyAlignment="1">
      <alignment vertical="center"/>
    </xf>
    <xf numFmtId="169" fontId="76" fillId="0" borderId="0" xfId="0" applyFont="1" applyAlignment="1">
      <alignment vertical="center"/>
    </xf>
    <xf numFmtId="0" fontId="76" fillId="0" borderId="57" xfId="61" applyFont="1" applyBorder="1" applyAlignment="1">
      <alignment horizontal="left" vertical="center" indent="2"/>
    </xf>
    <xf numFmtId="189" fontId="81" fillId="0" borderId="58" xfId="47" applyNumberFormat="1" applyFont="1" applyFill="1" applyBorder="1" applyAlignment="1">
      <alignment horizontal="right" vertical="center"/>
    </xf>
    <xf numFmtId="38" fontId="76" fillId="0" borderId="58" xfId="47" applyNumberFormat="1" applyFont="1" applyFill="1" applyBorder="1" applyAlignment="1">
      <alignment horizontal="right" vertical="center"/>
    </xf>
    <xf numFmtId="190" fontId="81" fillId="0" borderId="26" xfId="61" applyNumberFormat="1" applyFont="1" applyBorder="1" applyAlignment="1">
      <alignment horizontal="right" vertical="center"/>
    </xf>
    <xf numFmtId="190" fontId="81" fillId="0" borderId="26" xfId="61" applyNumberFormat="1" applyFont="1" applyBorder="1" applyAlignment="1">
      <alignment vertical="center"/>
    </xf>
    <xf numFmtId="190" fontId="76" fillId="0" borderId="26" xfId="61" applyNumberFormat="1" applyFont="1" applyBorder="1" applyAlignment="1">
      <alignment vertical="center"/>
    </xf>
    <xf numFmtId="190" fontId="76" fillId="0" borderId="26" xfId="61" applyNumberFormat="1" applyFont="1" applyBorder="1" applyAlignment="1">
      <alignment horizontal="right" vertical="center"/>
    </xf>
    <xf numFmtId="169" fontId="94" fillId="4" borderId="28" xfId="0" applyFont="1" applyFill="1" applyBorder="1" applyAlignment="1">
      <alignment horizontal="left" vertical="center"/>
    </xf>
    <xf numFmtId="0" fontId="76" fillId="0" borderId="53" xfId="61" applyFont="1" applyBorder="1" applyAlignment="1">
      <alignment horizontal="left" vertical="center" indent="3"/>
    </xf>
    <xf numFmtId="38" fontId="81" fillId="0" borderId="59" xfId="47" applyNumberFormat="1" applyFont="1" applyFill="1" applyBorder="1" applyAlignment="1">
      <alignment horizontal="right" vertical="center"/>
    </xf>
    <xf numFmtId="189" fontId="81" fillId="0" borderId="59" xfId="47" applyNumberFormat="1" applyFont="1" applyFill="1" applyBorder="1" applyAlignment="1">
      <alignment horizontal="right" vertical="center"/>
    </xf>
    <xf numFmtId="9" fontId="81" fillId="0" borderId="59" xfId="47" applyFont="1" applyFill="1" applyBorder="1" applyAlignment="1">
      <alignment horizontal="right" vertical="center"/>
    </xf>
    <xf numFmtId="184" fontId="81" fillId="0" borderId="26" xfId="61" applyNumberFormat="1" applyFont="1" applyBorder="1" applyAlignment="1">
      <alignment horizontal="right" vertical="center"/>
    </xf>
    <xf numFmtId="0" fontId="95" fillId="0" borderId="53" xfId="61" applyFont="1" applyBorder="1" applyAlignment="1">
      <alignment horizontal="left" vertical="center" indent="3"/>
    </xf>
    <xf numFmtId="191" fontId="81" fillId="0" borderId="26" xfId="61" applyNumberFormat="1" applyFont="1" applyBorder="1" applyAlignment="1">
      <alignment horizontal="right" vertical="center"/>
    </xf>
    <xf numFmtId="9" fontId="81" fillId="0" borderId="35" xfId="47" applyFont="1" applyFill="1" applyBorder="1" applyAlignment="1">
      <alignment horizontal="right" vertical="center"/>
    </xf>
    <xf numFmtId="0" fontId="76" fillId="0" borderId="54" xfId="61" applyFont="1" applyBorder="1" applyAlignment="1">
      <alignment horizontal="left" vertical="center" indent="4"/>
    </xf>
    <xf numFmtId="0" fontId="76" fillId="0" borderId="60" xfId="61" applyFont="1" applyBorder="1" applyAlignment="1">
      <alignment horizontal="left" vertical="center" indent="2"/>
    </xf>
    <xf numFmtId="38" fontId="81" fillId="0" borderId="61" xfId="47" applyNumberFormat="1" applyFont="1" applyFill="1" applyBorder="1" applyAlignment="1">
      <alignment horizontal="right" vertical="center"/>
    </xf>
    <xf numFmtId="38" fontId="76" fillId="0" borderId="61" xfId="47" applyNumberFormat="1" applyFont="1" applyFill="1" applyBorder="1" applyAlignment="1">
      <alignment horizontal="right" vertical="center"/>
    </xf>
    <xf numFmtId="10" fontId="81" fillId="0" borderId="59" xfId="47" applyNumberFormat="1" applyFont="1" applyFill="1" applyBorder="1" applyAlignment="1">
      <alignment horizontal="right" vertical="center"/>
    </xf>
    <xf numFmtId="0" fontId="76" fillId="0" borderId="53" xfId="61" applyFont="1" applyBorder="1" applyAlignment="1">
      <alignment horizontal="left" vertical="center" indent="4"/>
    </xf>
    <xf numFmtId="192" fontId="81" fillId="0" borderId="59" xfId="47" applyNumberFormat="1" applyFont="1" applyFill="1" applyBorder="1" applyAlignment="1">
      <alignment horizontal="right" vertical="center"/>
    </xf>
    <xf numFmtId="0" fontId="76" fillId="0" borderId="56" xfId="61" applyFont="1" applyBorder="1" applyAlignment="1">
      <alignment horizontal="left" vertical="center" indent="4"/>
    </xf>
    <xf numFmtId="0" fontId="76" fillId="4" borderId="60" xfId="61" applyFont="1" applyFill="1" applyBorder="1" applyAlignment="1">
      <alignment horizontal="left" vertical="center" indent="2"/>
    </xf>
    <xf numFmtId="190" fontId="81" fillId="4" borderId="26" xfId="47" applyNumberFormat="1" applyFont="1" applyFill="1" applyBorder="1" applyAlignment="1">
      <alignment horizontal="right" vertical="center"/>
    </xf>
    <xf numFmtId="38" fontId="76" fillId="4" borderId="22" xfId="47" applyNumberFormat="1" applyFont="1" applyFill="1" applyBorder="1" applyAlignment="1">
      <alignment horizontal="right" vertical="center"/>
    </xf>
    <xf numFmtId="190" fontId="81" fillId="4" borderId="26" xfId="61" applyNumberFormat="1" applyFont="1" applyFill="1" applyBorder="1" applyAlignment="1">
      <alignment vertical="center"/>
    </xf>
    <xf numFmtId="38" fontId="81" fillId="4" borderId="59" xfId="47" applyNumberFormat="1" applyFont="1" applyFill="1" applyBorder="1" applyAlignment="1">
      <alignment horizontal="right" vertical="center"/>
    </xf>
    <xf numFmtId="190" fontId="76" fillId="4" borderId="26" xfId="61" applyNumberFormat="1" applyFont="1" applyFill="1" applyBorder="1" applyAlignment="1">
      <alignment vertical="center"/>
    </xf>
    <xf numFmtId="190" fontId="76" fillId="4" borderId="26" xfId="61" applyNumberFormat="1" applyFont="1" applyFill="1" applyBorder="1" applyAlignment="1">
      <alignment horizontal="right" vertical="center"/>
    </xf>
    <xf numFmtId="0" fontId="76" fillId="4" borderId="53" xfId="61" applyFont="1" applyFill="1" applyBorder="1" applyAlignment="1">
      <alignment horizontal="left" vertical="center" indent="3"/>
    </xf>
    <xf numFmtId="189" fontId="81" fillId="4" borderId="59" xfId="47" applyNumberFormat="1" applyFont="1" applyFill="1" applyBorder="1" applyAlignment="1">
      <alignment horizontal="right" vertical="center"/>
    </xf>
    <xf numFmtId="9" fontId="81" fillId="4" borderId="59" xfId="47" applyFont="1" applyFill="1" applyBorder="1" applyAlignment="1">
      <alignment horizontal="right" vertical="center"/>
    </xf>
    <xf numFmtId="184" fontId="81" fillId="4" borderId="26" xfId="61" applyNumberFormat="1" applyFont="1" applyFill="1" applyBorder="1" applyAlignment="1">
      <alignment horizontal="right" vertical="center"/>
    </xf>
    <xf numFmtId="190" fontId="81" fillId="4" borderId="26" xfId="61" applyNumberFormat="1" applyFont="1" applyFill="1" applyBorder="1" applyAlignment="1">
      <alignment horizontal="right" vertical="center"/>
    </xf>
    <xf numFmtId="38" fontId="81" fillId="4" borderId="26" xfId="61" applyNumberFormat="1" applyFont="1" applyFill="1" applyBorder="1" applyAlignment="1">
      <alignment horizontal="right" vertical="center"/>
    </xf>
    <xf numFmtId="192" fontId="81" fillId="4" borderId="59" xfId="47" applyNumberFormat="1" applyFont="1" applyFill="1" applyBorder="1" applyAlignment="1">
      <alignment horizontal="right" vertical="center"/>
    </xf>
    <xf numFmtId="191" fontId="81" fillId="4" borderId="26" xfId="61" applyNumberFormat="1" applyFont="1" applyFill="1" applyBorder="1" applyAlignment="1">
      <alignment horizontal="right" vertical="center"/>
    </xf>
    <xf numFmtId="9" fontId="81" fillId="4" borderId="35" xfId="47" applyFont="1" applyFill="1" applyBorder="1" applyAlignment="1">
      <alignment horizontal="right" vertical="center"/>
    </xf>
    <xf numFmtId="0" fontId="76" fillId="4" borderId="53" xfId="61" applyFont="1" applyFill="1" applyBorder="1" applyAlignment="1">
      <alignment horizontal="left" vertical="center" indent="4"/>
    </xf>
    <xf numFmtId="0" fontId="76" fillId="0" borderId="62" xfId="61" applyFont="1" applyBorder="1" applyAlignment="1">
      <alignment horizontal="left" vertical="center" indent="2"/>
    </xf>
    <xf numFmtId="190" fontId="81" fillId="0" borderId="26" xfId="47" applyNumberFormat="1" applyFont="1" applyFill="1" applyBorder="1" applyAlignment="1">
      <alignment horizontal="right" vertical="center"/>
    </xf>
    <xf numFmtId="38" fontId="76" fillId="0" borderId="35" xfId="47" applyNumberFormat="1" applyFont="1" applyFill="1" applyBorder="1" applyAlignment="1">
      <alignment horizontal="right" vertical="center"/>
    </xf>
    <xf numFmtId="0" fontId="76" fillId="0" borderId="60" xfId="61" applyFont="1" applyBorder="1" applyAlignment="1">
      <alignment horizontal="left" vertical="center" indent="3"/>
    </xf>
    <xf numFmtId="0" fontId="76" fillId="0" borderId="56" xfId="61" applyFont="1" applyBorder="1" applyAlignment="1">
      <alignment horizontal="left" vertical="center" indent="2"/>
    </xf>
    <xf numFmtId="9" fontId="76" fillId="0" borderId="35" xfId="47" applyFont="1" applyFill="1" applyBorder="1" applyAlignment="1">
      <alignment horizontal="right" vertical="center"/>
    </xf>
    <xf numFmtId="10" fontId="76" fillId="0" borderId="35" xfId="47" applyNumberFormat="1" applyFont="1" applyFill="1" applyBorder="1" applyAlignment="1">
      <alignment horizontal="right" vertical="center"/>
    </xf>
    <xf numFmtId="40" fontId="76" fillId="0" borderId="35" xfId="47" applyNumberFormat="1" applyFont="1" applyFill="1" applyBorder="1" applyAlignment="1">
      <alignment horizontal="right" vertical="center"/>
    </xf>
    <xf numFmtId="38" fontId="76" fillId="0" borderId="59" xfId="47" applyNumberFormat="1" applyFont="1" applyFill="1" applyBorder="1" applyAlignment="1">
      <alignment horizontal="right" vertical="center"/>
    </xf>
    <xf numFmtId="38" fontId="84" fillId="0" borderId="26" xfId="61" applyNumberFormat="1" applyFont="1" applyBorder="1" applyAlignment="1">
      <alignment vertical="center"/>
    </xf>
    <xf numFmtId="189" fontId="76" fillId="0" borderId="59" xfId="47" applyNumberFormat="1" applyFont="1" applyFill="1" applyBorder="1" applyAlignment="1">
      <alignment horizontal="right" vertical="center"/>
    </xf>
    <xf numFmtId="9" fontId="76" fillId="0" borderId="59" xfId="47" applyFont="1" applyFill="1" applyBorder="1" applyAlignment="1">
      <alignment horizontal="right" vertical="center"/>
    </xf>
    <xf numFmtId="184" fontId="76" fillId="0" borderId="26" xfId="61" applyNumberFormat="1" applyFont="1" applyBorder="1" applyAlignment="1">
      <alignment horizontal="right" vertical="center"/>
    </xf>
    <xf numFmtId="38" fontId="76" fillId="0" borderId="26" xfId="61" applyNumberFormat="1" applyFont="1" applyBorder="1" applyAlignment="1">
      <alignment horizontal="right" vertical="center"/>
    </xf>
    <xf numFmtId="192" fontId="76" fillId="0" borderId="59" xfId="47" applyNumberFormat="1" applyFont="1" applyFill="1" applyBorder="1" applyAlignment="1">
      <alignment horizontal="right" vertical="center"/>
    </xf>
    <xf numFmtId="191" fontId="76" fillId="0" borderId="26" xfId="61" applyNumberFormat="1" applyFont="1" applyBorder="1" applyAlignment="1">
      <alignment horizontal="right" vertical="center"/>
    </xf>
    <xf numFmtId="38" fontId="84" fillId="0" borderId="35" xfId="61" applyNumberFormat="1" applyFont="1" applyBorder="1" applyAlignment="1">
      <alignment vertical="center"/>
    </xf>
    <xf numFmtId="0" fontId="76" fillId="0" borderId="55" xfId="61" applyFont="1" applyBorder="1" applyAlignment="1">
      <alignment horizontal="left" vertical="center" indent="3"/>
    </xf>
    <xf numFmtId="38" fontId="81" fillId="0" borderId="0" xfId="47" applyNumberFormat="1" applyFont="1" applyFill="1" applyBorder="1" applyAlignment="1">
      <alignment horizontal="right" vertical="center"/>
    </xf>
    <xf numFmtId="38" fontId="76" fillId="0" borderId="0" xfId="47" applyNumberFormat="1" applyFont="1" applyFill="1" applyBorder="1" applyAlignment="1">
      <alignment horizontal="right" vertical="center"/>
    </xf>
    <xf numFmtId="38" fontId="84" fillId="0" borderId="0" xfId="61" applyNumberFormat="1" applyFont="1" applyAlignment="1">
      <alignment vertical="center"/>
    </xf>
    <xf numFmtId="181" fontId="73" fillId="0" borderId="63" xfId="0" applyNumberFormat="1" applyFont="1" applyBorder="1" applyAlignment="1">
      <alignment horizontal="left" vertical="center" indent="1"/>
    </xf>
    <xf numFmtId="38" fontId="72" fillId="0" borderId="61" xfId="47" applyNumberFormat="1" applyFont="1" applyFill="1" applyBorder="1" applyAlignment="1">
      <alignment horizontal="right" vertical="center"/>
    </xf>
    <xf numFmtId="164" fontId="76" fillId="0" borderId="0" xfId="0" applyNumberFormat="1" applyFont="1" applyAlignment="1">
      <alignment vertical="center"/>
    </xf>
    <xf numFmtId="38" fontId="76" fillId="4" borderId="35" xfId="47" applyNumberFormat="1" applyFont="1" applyFill="1" applyBorder="1" applyAlignment="1">
      <alignment horizontal="right" vertical="center"/>
    </xf>
    <xf numFmtId="0" fontId="76" fillId="0" borderId="56" xfId="61" applyFont="1" applyBorder="1" applyAlignment="1">
      <alignment horizontal="left" vertical="center" indent="3"/>
    </xf>
    <xf numFmtId="189" fontId="76" fillId="0" borderId="35" xfId="47" applyNumberFormat="1" applyFont="1" applyFill="1" applyBorder="1" applyAlignment="1">
      <alignment horizontal="right" vertical="center"/>
    </xf>
    <xf numFmtId="169" fontId="72" fillId="4" borderId="20" xfId="0" applyFont="1" applyFill="1" applyBorder="1" applyAlignment="1">
      <alignment horizontal="left" vertical="center"/>
    </xf>
    <xf numFmtId="0" fontId="72" fillId="0" borderId="53" xfId="61" applyFont="1" applyBorder="1" applyAlignment="1">
      <alignment horizontal="left" vertical="center" indent="1"/>
    </xf>
    <xf numFmtId="184" fontId="72" fillId="0" borderId="26" xfId="61" applyNumberFormat="1" applyFont="1" applyBorder="1" applyAlignment="1">
      <alignment horizontal="right" vertical="center"/>
    </xf>
    <xf numFmtId="169" fontId="72" fillId="4" borderId="28" xfId="0" applyFont="1" applyFill="1" applyBorder="1" applyAlignment="1">
      <alignment horizontal="left" vertical="center"/>
    </xf>
    <xf numFmtId="10" fontId="71" fillId="47" borderId="45" xfId="47" applyNumberFormat="1" applyFont="1" applyFill="1" applyBorder="1" applyAlignment="1">
      <alignment horizontal="right" vertical="center"/>
    </xf>
    <xf numFmtId="10" fontId="71" fillId="47" borderId="45" xfId="47" applyNumberFormat="1" applyFont="1" applyFill="1" applyBorder="1" applyAlignment="1">
      <alignment vertical="center"/>
    </xf>
    <xf numFmtId="10" fontId="68" fillId="47" borderId="45" xfId="47" applyNumberFormat="1" applyFont="1" applyFill="1" applyBorder="1" applyAlignment="1" applyProtection="1">
      <alignment horizontal="left" vertical="center" indent="1"/>
      <protection locked="0"/>
    </xf>
    <xf numFmtId="40" fontId="79" fillId="4" borderId="64" xfId="0" applyNumberFormat="1" applyFont="1" applyFill="1" applyBorder="1" applyAlignment="1">
      <alignment horizontal="left" vertical="center"/>
    </xf>
    <xf numFmtId="169" fontId="76" fillId="0" borderId="53" xfId="0" applyFont="1" applyBorder="1" applyAlignment="1">
      <alignment horizontal="left" vertical="center" indent="1"/>
    </xf>
    <xf numFmtId="179" fontId="76" fillId="0" borderId="26" xfId="0" applyNumberFormat="1" applyFont="1" applyBorder="1" applyAlignment="1">
      <alignment horizontal="right" vertical="center"/>
    </xf>
    <xf numFmtId="169" fontId="96" fillId="4" borderId="24" xfId="0" applyFont="1" applyFill="1" applyBorder="1" applyAlignment="1">
      <alignment horizontal="left" vertical="center"/>
    </xf>
    <xf numFmtId="169" fontId="96" fillId="4" borderId="28" xfId="0" applyFont="1" applyFill="1" applyBorder="1" applyAlignment="1">
      <alignment horizontal="left" vertical="center"/>
    </xf>
    <xf numFmtId="40" fontId="79" fillId="0" borderId="64" xfId="0" applyNumberFormat="1" applyFont="1" applyBorder="1" applyAlignment="1">
      <alignment horizontal="left" vertical="center"/>
    </xf>
    <xf numFmtId="169" fontId="96" fillId="0" borderId="28" xfId="0" applyFont="1" applyBorder="1" applyAlignment="1">
      <alignment horizontal="left" vertical="center"/>
    </xf>
    <xf numFmtId="169" fontId="93" fillId="0" borderId="53" xfId="0" applyFont="1" applyBorder="1" applyAlignment="1">
      <alignment horizontal="left" vertical="center" indent="1"/>
    </xf>
    <xf numFmtId="169" fontId="84" fillId="0" borderId="54" xfId="0" applyFont="1" applyBorder="1" applyAlignment="1">
      <alignment horizontal="left" vertical="center" indent="1"/>
    </xf>
    <xf numFmtId="184" fontId="79" fillId="0" borderId="35" xfId="0" applyNumberFormat="1" applyFont="1" applyBorder="1" applyAlignment="1">
      <alignment horizontal="right" vertical="center"/>
    </xf>
    <xf numFmtId="184" fontId="84" fillId="0" borderId="35" xfId="0" applyNumberFormat="1" applyFont="1" applyBorder="1" applyAlignment="1">
      <alignment horizontal="right" vertical="center"/>
    </xf>
    <xf numFmtId="40" fontId="84" fillId="0" borderId="56" xfId="61" applyNumberFormat="1" applyFont="1" applyBorder="1" applyAlignment="1">
      <alignment horizontal="left" vertical="center" indent="1"/>
    </xf>
    <xf numFmtId="193" fontId="84" fillId="0" borderId="65" xfId="47" applyNumberFormat="1" applyFont="1" applyFill="1" applyBorder="1" applyAlignment="1">
      <alignment horizontal="right" vertical="center"/>
    </xf>
    <xf numFmtId="194" fontId="84" fillId="0" borderId="22" xfId="47" applyNumberFormat="1" applyFont="1" applyFill="1" applyBorder="1" applyAlignment="1">
      <alignment horizontal="right" vertical="center"/>
    </xf>
    <xf numFmtId="40" fontId="84" fillId="0" borderId="0" xfId="0" applyNumberFormat="1" applyFont="1" applyAlignment="1">
      <alignment vertical="center"/>
    </xf>
    <xf numFmtId="40" fontId="84" fillId="0" borderId="53" xfId="61" applyNumberFormat="1" applyFont="1" applyBorder="1" applyAlignment="1">
      <alignment horizontal="left" vertical="center" indent="1"/>
    </xf>
    <xf numFmtId="193" fontId="84" fillId="0" borderId="59" xfId="47" applyNumberFormat="1" applyFont="1" applyFill="1" applyBorder="1" applyAlignment="1">
      <alignment horizontal="right" vertical="center"/>
    </xf>
    <xf numFmtId="194" fontId="84" fillId="0" borderId="26" xfId="47" applyNumberFormat="1" applyFont="1" applyFill="1" applyBorder="1" applyAlignment="1">
      <alignment horizontal="right" vertical="center"/>
    </xf>
    <xf numFmtId="40" fontId="79" fillId="0" borderId="53" xfId="61" applyNumberFormat="1" applyFont="1" applyBorder="1" applyAlignment="1">
      <alignment horizontal="left" vertical="center" indent="1"/>
    </xf>
    <xf numFmtId="38" fontId="79" fillId="0" borderId="59" xfId="47" applyNumberFormat="1" applyFont="1" applyFill="1" applyBorder="1" applyAlignment="1">
      <alignment horizontal="right" vertical="center"/>
    </xf>
    <xf numFmtId="38" fontId="84" fillId="0" borderId="59" xfId="47" applyNumberFormat="1" applyFont="1" applyFill="1" applyBorder="1" applyAlignment="1">
      <alignment horizontal="right" vertical="center"/>
    </xf>
    <xf numFmtId="184" fontId="84" fillId="0" borderId="26" xfId="47" applyNumberFormat="1" applyFont="1" applyFill="1" applyBorder="1" applyAlignment="1">
      <alignment horizontal="right" vertical="center"/>
    </xf>
    <xf numFmtId="184" fontId="84" fillId="0" borderId="26" xfId="61" applyNumberFormat="1" applyFont="1" applyBorder="1" applyAlignment="1">
      <alignment vertical="center"/>
    </xf>
    <xf numFmtId="184" fontId="84" fillId="0" borderId="26" xfId="61" applyNumberFormat="1" applyFont="1" applyBorder="1" applyAlignment="1">
      <alignment horizontal="right" vertical="center"/>
    </xf>
    <xf numFmtId="190" fontId="84" fillId="0" borderId="26" xfId="61" applyNumberFormat="1" applyFont="1" applyBorder="1" applyAlignment="1">
      <alignment horizontal="right" vertical="center"/>
    </xf>
    <xf numFmtId="0" fontId="84" fillId="0" borderId="53" xfId="61" applyFont="1" applyBorder="1" applyAlignment="1">
      <alignment horizontal="left" vertical="center" indent="2"/>
    </xf>
    <xf numFmtId="0" fontId="84" fillId="0" borderId="56" xfId="61" applyFont="1" applyBorder="1" applyAlignment="1">
      <alignment horizontal="left" vertical="center" indent="2"/>
    </xf>
    <xf numFmtId="184" fontId="84" fillId="0" borderId="22" xfId="62" applyNumberFormat="1" applyFont="1" applyFill="1" applyBorder="1" applyAlignment="1">
      <alignment horizontal="right" vertical="center"/>
    </xf>
    <xf numFmtId="184" fontId="84" fillId="0" borderId="22" xfId="61" applyNumberFormat="1" applyFont="1" applyBorder="1" applyAlignment="1">
      <alignment vertical="center"/>
    </xf>
    <xf numFmtId="184" fontId="84" fillId="0" borderId="22" xfId="61" applyNumberFormat="1" applyFont="1" applyBorder="1" applyAlignment="1">
      <alignment horizontal="right" vertical="center"/>
    </xf>
    <xf numFmtId="190" fontId="84" fillId="0" borderId="22" xfId="61" applyNumberFormat="1" applyFont="1" applyBorder="1" applyAlignment="1">
      <alignment horizontal="right" vertical="center"/>
    </xf>
    <xf numFmtId="190" fontId="84" fillId="0" borderId="26" xfId="47" applyNumberFormat="1" applyFont="1" applyFill="1" applyBorder="1" applyAlignment="1">
      <alignment horizontal="right" vertical="center"/>
    </xf>
    <xf numFmtId="190" fontId="84" fillId="0" borderId="26" xfId="61" applyNumberFormat="1" applyFont="1" applyBorder="1" applyAlignment="1">
      <alignment vertical="center"/>
    </xf>
    <xf numFmtId="40" fontId="79" fillId="4" borderId="66" xfId="0" applyNumberFormat="1" applyFont="1" applyFill="1" applyBorder="1" applyAlignment="1">
      <alignment horizontal="left" vertical="center"/>
    </xf>
    <xf numFmtId="169" fontId="84" fillId="0" borderId="26" xfId="0" applyFont="1" applyBorder="1" applyAlignment="1">
      <alignment horizontal="left" vertical="center" indent="1"/>
    </xf>
    <xf numFmtId="184" fontId="79" fillId="0" borderId="26" xfId="0" applyNumberFormat="1" applyFont="1" applyBorder="1" applyAlignment="1">
      <alignment horizontal="right" vertical="center"/>
    </xf>
    <xf numFmtId="184" fontId="84" fillId="0" borderId="26" xfId="0" applyNumberFormat="1" applyFont="1" applyBorder="1" applyAlignment="1">
      <alignment horizontal="right" vertical="center"/>
    </xf>
    <xf numFmtId="169" fontId="96" fillId="4" borderId="43" xfId="0" applyFont="1" applyFill="1" applyBorder="1" applyAlignment="1">
      <alignment horizontal="left" vertical="center"/>
    </xf>
    <xf numFmtId="10" fontId="99" fillId="48" borderId="26" xfId="47" applyNumberFormat="1" applyFont="1" applyFill="1" applyBorder="1" applyAlignment="1" applyProtection="1">
      <alignment vertical="center"/>
      <protection locked="0"/>
    </xf>
    <xf numFmtId="10" fontId="71" fillId="48" borderId="26" xfId="47" applyNumberFormat="1" applyFont="1" applyFill="1" applyBorder="1" applyAlignment="1">
      <alignment horizontal="right" vertical="center"/>
    </xf>
    <xf numFmtId="10" fontId="71" fillId="48" borderId="26" xfId="47" applyNumberFormat="1" applyFont="1" applyFill="1" applyBorder="1" applyAlignment="1">
      <alignment vertical="center"/>
    </xf>
    <xf numFmtId="10" fontId="68" fillId="48" borderId="26" xfId="47" applyNumberFormat="1" applyFont="1" applyFill="1" applyBorder="1" applyAlignment="1" applyProtection="1">
      <alignment horizontal="left" vertical="center" indent="1"/>
      <protection locked="0"/>
    </xf>
    <xf numFmtId="10" fontId="101" fillId="0" borderId="68" xfId="47" applyNumberFormat="1" applyFont="1" applyFill="1" applyBorder="1" applyAlignment="1" applyProtection="1">
      <alignment horizontal="left" vertical="center" indent="1"/>
    </xf>
    <xf numFmtId="10" fontId="101" fillId="0" borderId="22" xfId="47" applyNumberFormat="1" applyFont="1" applyFill="1" applyBorder="1" applyAlignment="1" applyProtection="1">
      <alignment horizontal="right" vertical="center"/>
    </xf>
    <xf numFmtId="171" fontId="101" fillId="0" borderId="22" xfId="47" applyNumberFormat="1" applyFont="1" applyFill="1" applyBorder="1" applyAlignment="1" applyProtection="1">
      <alignment horizontal="right" vertical="center"/>
    </xf>
    <xf numFmtId="171" fontId="101" fillId="0" borderId="22" xfId="47" applyNumberFormat="1" applyFont="1" applyFill="1" applyBorder="1" applyAlignment="1" applyProtection="1">
      <alignment vertical="center"/>
    </xf>
    <xf numFmtId="10" fontId="76" fillId="0" borderId="27" xfId="47" applyNumberFormat="1" applyFont="1" applyFill="1" applyBorder="1" applyAlignment="1" applyProtection="1">
      <alignment vertical="center"/>
    </xf>
    <xf numFmtId="38" fontId="84" fillId="0" borderId="0" xfId="0" applyNumberFormat="1" applyFont="1" applyAlignment="1">
      <alignment horizontal="left" vertical="center"/>
    </xf>
    <xf numFmtId="10" fontId="101" fillId="0" borderId="0" xfId="47" applyNumberFormat="1" applyFont="1" applyFill="1" applyBorder="1" applyAlignment="1" applyProtection="1">
      <alignment vertical="center"/>
      <protection locked="0"/>
    </xf>
    <xf numFmtId="10" fontId="76" fillId="0" borderId="29" xfId="47" applyNumberFormat="1" applyFont="1" applyFill="1" applyBorder="1" applyAlignment="1" applyProtection="1">
      <alignment horizontal="left" vertical="center" indent="1"/>
    </xf>
    <xf numFmtId="10" fontId="76" fillId="0" borderId="26" xfId="47" applyNumberFormat="1" applyFont="1" applyFill="1" applyBorder="1" applyAlignment="1" applyProtection="1">
      <alignment horizontal="right" vertical="center"/>
    </xf>
    <xf numFmtId="171" fontId="76" fillId="0" borderId="26" xfId="47" applyNumberFormat="1" applyFont="1" applyFill="1" applyBorder="1" applyAlignment="1" applyProtection="1">
      <alignment horizontal="right" vertical="center"/>
    </xf>
    <xf numFmtId="171" fontId="76" fillId="0" borderId="26" xfId="47" applyNumberFormat="1" applyFont="1" applyFill="1" applyBorder="1" applyAlignment="1" applyProtection="1">
      <alignment vertical="center"/>
    </xf>
    <xf numFmtId="10" fontId="76" fillId="0" borderId="0" xfId="47" applyNumberFormat="1" applyFont="1" applyFill="1" applyBorder="1" applyAlignment="1" applyProtection="1">
      <alignment vertical="center"/>
      <protection locked="0"/>
    </xf>
    <xf numFmtId="171" fontId="76" fillId="0" borderId="69" xfId="47" applyNumberFormat="1" applyFont="1" applyFill="1" applyBorder="1" applyAlignment="1" applyProtection="1">
      <alignment horizontal="right" vertical="center"/>
    </xf>
    <xf numFmtId="38" fontId="76" fillId="0" borderId="29" xfId="0" applyNumberFormat="1" applyFont="1" applyBorder="1" applyAlignment="1">
      <alignment horizontal="left" vertical="center" indent="1"/>
    </xf>
    <xf numFmtId="38" fontId="76" fillId="0" borderId="26" xfId="0" applyNumberFormat="1" applyFont="1" applyBorder="1" applyAlignment="1">
      <alignment horizontal="right" vertical="center"/>
    </xf>
    <xf numFmtId="38" fontId="76" fillId="0" borderId="69" xfId="47" applyNumberFormat="1" applyFont="1" applyFill="1" applyBorder="1" applyAlignment="1">
      <alignment vertical="center"/>
    </xf>
    <xf numFmtId="38" fontId="76" fillId="0" borderId="26" xfId="0" applyNumberFormat="1" applyFont="1" applyBorder="1" applyAlignment="1">
      <alignment vertical="center"/>
    </xf>
    <xf numFmtId="38" fontId="76" fillId="0" borderId="0" xfId="0" applyNumberFormat="1" applyFont="1" applyAlignment="1" applyProtection="1">
      <alignment vertical="center"/>
      <protection locked="0"/>
    </xf>
    <xf numFmtId="10" fontId="84" fillId="0" borderId="29" xfId="0" applyNumberFormat="1" applyFont="1" applyBorder="1" applyAlignment="1">
      <alignment horizontal="left" vertical="center" indent="1"/>
    </xf>
    <xf numFmtId="10" fontId="84" fillId="0" borderId="0" xfId="47" applyNumberFormat="1" applyFont="1" applyFill="1" applyBorder="1" applyAlignment="1">
      <alignment horizontal="right" vertical="center"/>
    </xf>
    <xf numFmtId="10" fontId="84" fillId="0" borderId="0" xfId="47" applyNumberFormat="1" applyFont="1" applyFill="1" applyBorder="1" applyAlignment="1">
      <alignment vertical="center"/>
    </xf>
    <xf numFmtId="10" fontId="102" fillId="0" borderId="0" xfId="47" applyNumberFormat="1" applyFont="1" applyFill="1" applyBorder="1" applyAlignment="1">
      <alignment horizontal="right" vertical="center"/>
    </xf>
    <xf numFmtId="10" fontId="84" fillId="0" borderId="0" xfId="0" applyNumberFormat="1" applyFont="1" applyAlignment="1">
      <alignment vertical="center"/>
    </xf>
    <xf numFmtId="10" fontId="76" fillId="0" borderId="29" xfId="47" applyNumberFormat="1" applyFont="1" applyFill="1" applyBorder="1" applyAlignment="1" applyProtection="1">
      <alignment horizontal="left" vertical="center" indent="2"/>
    </xf>
    <xf numFmtId="10" fontId="103" fillId="0" borderId="26" xfId="47" applyNumberFormat="1" applyFont="1" applyFill="1" applyBorder="1" applyAlignment="1" applyProtection="1">
      <alignment vertical="center"/>
    </xf>
    <xf numFmtId="10" fontId="76" fillId="0" borderId="29" xfId="47" applyNumberFormat="1" applyFont="1" applyFill="1" applyBorder="1" applyAlignment="1" applyProtection="1">
      <alignment horizontal="left" vertical="center" indent="3"/>
    </xf>
    <xf numFmtId="10" fontId="76" fillId="0" borderId="69" xfId="47" applyNumberFormat="1" applyFont="1" applyFill="1" applyBorder="1" applyAlignment="1" applyProtection="1">
      <alignment horizontal="right" vertical="center"/>
    </xf>
    <xf numFmtId="10" fontId="76" fillId="0" borderId="26" xfId="47" applyNumberFormat="1" applyFont="1" applyFill="1" applyBorder="1" applyAlignment="1" applyProtection="1">
      <alignment vertical="center"/>
    </xf>
    <xf numFmtId="38" fontId="76" fillId="0" borderId="29" xfId="0" applyNumberFormat="1" applyFont="1" applyBorder="1" applyAlignment="1">
      <alignment horizontal="left" vertical="center" indent="3"/>
    </xf>
    <xf numFmtId="38" fontId="76" fillId="0" borderId="27" xfId="0" applyNumberFormat="1" applyFont="1" applyBorder="1" applyAlignment="1">
      <alignment vertical="center"/>
    </xf>
    <xf numFmtId="10" fontId="76" fillId="0" borderId="29" xfId="0" applyNumberFormat="1" applyFont="1" applyBorder="1" applyAlignment="1">
      <alignment horizontal="left" vertical="center" indent="3"/>
    </xf>
    <xf numFmtId="10" fontId="76" fillId="0" borderId="26" xfId="0" applyNumberFormat="1" applyFont="1" applyBorder="1" applyAlignment="1">
      <alignment horizontal="right" vertical="center"/>
    </xf>
    <xf numFmtId="10" fontId="76" fillId="0" borderId="26" xfId="0" applyNumberFormat="1" applyFont="1" applyBorder="1" applyAlignment="1">
      <alignment vertical="center"/>
    </xf>
    <xf numFmtId="10" fontId="76" fillId="0" borderId="27" xfId="0" applyNumberFormat="1" applyFont="1" applyBorder="1" applyAlignment="1">
      <alignment vertical="center"/>
    </xf>
    <xf numFmtId="10" fontId="76" fillId="0" borderId="0" xfId="0" applyNumberFormat="1" applyFont="1" applyAlignment="1" applyProtection="1">
      <alignment vertical="center"/>
      <protection locked="0"/>
    </xf>
    <xf numFmtId="10" fontId="76" fillId="0" borderId="0" xfId="0" applyNumberFormat="1" applyFont="1" applyAlignment="1">
      <alignment horizontal="right" vertical="center"/>
    </xf>
    <xf numFmtId="38" fontId="76" fillId="0" borderId="34" xfId="0" applyNumberFormat="1" applyFont="1" applyBorder="1" applyAlignment="1">
      <alignment horizontal="left" vertical="center" indent="3"/>
    </xf>
    <xf numFmtId="38" fontId="76" fillId="37" borderId="35" xfId="0" applyNumberFormat="1" applyFont="1" applyFill="1" applyBorder="1" applyAlignment="1">
      <alignment horizontal="right" vertical="center"/>
    </xf>
    <xf numFmtId="38" fontId="76" fillId="0" borderId="35" xfId="0" applyNumberFormat="1" applyFont="1" applyBorder="1" applyAlignment="1">
      <alignment horizontal="right" vertical="center"/>
    </xf>
    <xf numFmtId="38" fontId="76" fillId="0" borderId="70" xfId="47" applyNumberFormat="1" applyFont="1" applyFill="1" applyBorder="1" applyAlignment="1">
      <alignment vertical="center"/>
    </xf>
    <xf numFmtId="38" fontId="76" fillId="0" borderId="35" xfId="0" applyNumberFormat="1" applyFont="1" applyBorder="1" applyAlignment="1">
      <alignment vertical="center"/>
    </xf>
    <xf numFmtId="38" fontId="76" fillId="0" borderId="71" xfId="0" applyNumberFormat="1" applyFont="1" applyBorder="1" applyAlignment="1">
      <alignment horizontal="left" vertical="center" indent="2"/>
    </xf>
    <xf numFmtId="38" fontId="76" fillId="0" borderId="69" xfId="0" applyNumberFormat="1" applyFont="1" applyBorder="1" applyAlignment="1">
      <alignment horizontal="right" vertical="center"/>
    </xf>
    <xf numFmtId="38" fontId="76" fillId="0" borderId="69" xfId="0" applyNumberFormat="1" applyFont="1" applyBorder="1" applyAlignment="1">
      <alignment vertical="center"/>
    </xf>
    <xf numFmtId="38" fontId="76" fillId="0" borderId="30" xfId="0" applyNumberFormat="1" applyFont="1" applyBorder="1" applyAlignment="1">
      <alignment vertical="center"/>
    </xf>
    <xf numFmtId="38" fontId="81" fillId="0" borderId="69" xfId="0" applyNumberFormat="1" applyFont="1" applyBorder="1" applyAlignment="1">
      <alignment horizontal="right" vertical="center"/>
    </xf>
    <xf numFmtId="38" fontId="81" fillId="0" borderId="69" xfId="47" applyNumberFormat="1" applyFont="1" applyFill="1" applyBorder="1" applyAlignment="1">
      <alignment vertical="center"/>
    </xf>
    <xf numFmtId="38" fontId="84" fillId="0" borderId="72" xfId="0" applyNumberFormat="1" applyFont="1" applyBorder="1" applyAlignment="1">
      <alignment vertical="center"/>
    </xf>
    <xf numFmtId="0" fontId="79" fillId="4" borderId="71" xfId="0" applyNumberFormat="1" applyFont="1" applyFill="1" applyBorder="1" applyAlignment="1">
      <alignment horizontal="left" vertical="center" indent="1"/>
    </xf>
    <xf numFmtId="38" fontId="79" fillId="4" borderId="69" xfId="0" applyNumberFormat="1" applyFont="1" applyFill="1" applyBorder="1" applyAlignment="1">
      <alignment horizontal="right" vertical="center"/>
    </xf>
    <xf numFmtId="38" fontId="84" fillId="4" borderId="72" xfId="0" applyNumberFormat="1" applyFont="1" applyFill="1" applyBorder="1" applyAlignment="1">
      <alignment vertical="center"/>
    </xf>
    <xf numFmtId="38" fontId="84" fillId="4" borderId="0" xfId="0" applyNumberFormat="1" applyFont="1" applyFill="1" applyAlignment="1">
      <alignment horizontal="left" vertical="center"/>
    </xf>
    <xf numFmtId="169" fontId="79" fillId="4" borderId="0" xfId="0" applyFont="1" applyFill="1" applyAlignment="1" applyProtection="1">
      <alignment vertical="center"/>
      <protection locked="0"/>
    </xf>
    <xf numFmtId="39" fontId="76" fillId="4" borderId="29" xfId="61" applyNumberFormat="1" applyFont="1" applyFill="1" applyBorder="1" applyAlignment="1">
      <alignment horizontal="left" vertical="center" indent="3"/>
    </xf>
    <xf numFmtId="38" fontId="84" fillId="4" borderId="69" xfId="0" applyNumberFormat="1" applyFont="1" applyFill="1" applyBorder="1" applyAlignment="1">
      <alignment horizontal="right" vertical="center"/>
    </xf>
    <xf numFmtId="38" fontId="84" fillId="4" borderId="69" xfId="0" applyNumberFormat="1" applyFont="1" applyFill="1" applyBorder="1" applyAlignment="1">
      <alignment vertical="center"/>
    </xf>
    <xf numFmtId="169" fontId="84" fillId="4" borderId="0" xfId="0" applyFont="1" applyFill="1" applyAlignment="1" applyProtection="1">
      <alignment vertical="center"/>
      <protection locked="0"/>
    </xf>
    <xf numFmtId="37" fontId="76" fillId="4" borderId="29" xfId="61" applyNumberFormat="1" applyFont="1" applyFill="1" applyBorder="1" applyAlignment="1">
      <alignment horizontal="left" vertical="center" indent="3"/>
    </xf>
    <xf numFmtId="180" fontId="76" fillId="4" borderId="29" xfId="61" applyNumberFormat="1" applyFont="1" applyFill="1" applyBorder="1" applyAlignment="1">
      <alignment horizontal="left" vertical="center" indent="3"/>
    </xf>
    <xf numFmtId="0" fontId="72" fillId="4" borderId="29" xfId="0" applyNumberFormat="1" applyFont="1" applyFill="1" applyBorder="1" applyAlignment="1">
      <alignment horizontal="left" vertical="center" indent="2"/>
    </xf>
    <xf numFmtId="38" fontId="72" fillId="4" borderId="69" xfId="0" applyNumberFormat="1" applyFont="1" applyFill="1" applyBorder="1" applyAlignment="1">
      <alignment horizontal="right" vertical="center"/>
    </xf>
    <xf numFmtId="38" fontId="72" fillId="4" borderId="69" xfId="0" applyNumberFormat="1" applyFont="1" applyFill="1" applyBorder="1" applyAlignment="1">
      <alignment vertical="center"/>
    </xf>
    <xf numFmtId="38" fontId="72" fillId="4" borderId="72" xfId="0" applyNumberFormat="1" applyFont="1" applyFill="1" applyBorder="1" applyAlignment="1">
      <alignment vertical="center"/>
    </xf>
    <xf numFmtId="169" fontId="72" fillId="4" borderId="0" xfId="0" applyFont="1" applyFill="1" applyAlignment="1" applyProtection="1">
      <alignment vertical="center"/>
      <protection locked="0"/>
    </xf>
    <xf numFmtId="181" fontId="72" fillId="4" borderId="29" xfId="0" applyNumberFormat="1" applyFont="1" applyFill="1" applyBorder="1" applyAlignment="1">
      <alignment horizontal="left" vertical="center" indent="1"/>
    </xf>
    <xf numFmtId="38" fontId="72" fillId="4" borderId="38" xfId="47" applyNumberFormat="1" applyFont="1" applyFill="1" applyBorder="1" applyAlignment="1">
      <alignment horizontal="right" vertical="center"/>
    </xf>
    <xf numFmtId="38" fontId="101" fillId="4" borderId="23" xfId="47" applyNumberFormat="1" applyFont="1" applyFill="1" applyBorder="1" applyAlignment="1">
      <alignment horizontal="right" vertical="center"/>
    </xf>
    <xf numFmtId="38" fontId="72" fillId="4" borderId="0" xfId="0" applyNumberFormat="1" applyFont="1" applyFill="1" applyAlignment="1">
      <alignment vertical="center"/>
    </xf>
    <xf numFmtId="38" fontId="72" fillId="4" borderId="22" xfId="47" applyNumberFormat="1" applyFont="1" applyFill="1" applyBorder="1" applyAlignment="1">
      <alignment horizontal="right" vertical="center"/>
    </xf>
    <xf numFmtId="38" fontId="101" fillId="4" borderId="31" xfId="47" applyNumberFormat="1" applyFont="1" applyFill="1" applyBorder="1" applyAlignment="1">
      <alignment horizontal="right" vertical="center"/>
    </xf>
    <xf numFmtId="0" fontId="104" fillId="4" borderId="29" xfId="0" applyNumberFormat="1" applyFont="1" applyFill="1" applyBorder="1" applyAlignment="1">
      <alignment horizontal="left" vertical="center" indent="2"/>
    </xf>
    <xf numFmtId="195" fontId="104" fillId="4" borderId="26" xfId="0" applyNumberFormat="1" applyFont="1" applyFill="1" applyBorder="1" applyAlignment="1">
      <alignment horizontal="right" vertical="center"/>
    </xf>
    <xf numFmtId="171" fontId="104" fillId="4" borderId="26" xfId="0" applyNumberFormat="1" applyFont="1" applyFill="1" applyBorder="1" applyAlignment="1">
      <alignment horizontal="right" vertical="center"/>
    </xf>
    <xf numFmtId="171" fontId="104" fillId="4" borderId="26" xfId="0" applyNumberFormat="1" applyFont="1" applyFill="1" applyBorder="1" applyAlignment="1">
      <alignment vertical="center"/>
    </xf>
    <xf numFmtId="171" fontId="105" fillId="4" borderId="26" xfId="0" applyNumberFormat="1" applyFont="1" applyFill="1" applyBorder="1" applyAlignment="1">
      <alignment vertical="center"/>
    </xf>
    <xf numFmtId="179" fontId="105" fillId="4" borderId="27" xfId="0" applyNumberFormat="1" applyFont="1" applyFill="1" applyBorder="1" applyAlignment="1">
      <alignment vertical="center"/>
    </xf>
    <xf numFmtId="169" fontId="105" fillId="4" borderId="0" xfId="0" applyFont="1" applyFill="1" applyAlignment="1" applyProtection="1">
      <alignment vertical="center"/>
      <protection locked="0"/>
    </xf>
    <xf numFmtId="171" fontId="93" fillId="4" borderId="27" xfId="0" applyNumberFormat="1" applyFont="1" applyFill="1" applyBorder="1" applyAlignment="1">
      <alignment horizontal="right" vertical="center"/>
    </xf>
    <xf numFmtId="171" fontId="93" fillId="4" borderId="27" xfId="0" applyNumberFormat="1" applyFont="1" applyFill="1" applyBorder="1" applyAlignment="1">
      <alignment vertical="center"/>
    </xf>
    <xf numFmtId="38" fontId="76" fillId="4" borderId="29" xfId="0" applyNumberFormat="1" applyFont="1" applyFill="1" applyBorder="1" applyAlignment="1" applyProtection="1">
      <alignment horizontal="left" vertical="center" indent="3"/>
      <protection locked="0"/>
    </xf>
    <xf numFmtId="38" fontId="76" fillId="4" borderId="69" xfId="61" applyNumberFormat="1" applyFont="1" applyFill="1" applyBorder="1" applyAlignment="1">
      <alignment horizontal="right" vertical="center"/>
    </xf>
    <xf numFmtId="38" fontId="76" fillId="4" borderId="72" xfId="61" applyNumberFormat="1" applyFont="1" applyFill="1" applyBorder="1" applyAlignment="1">
      <alignment horizontal="right" vertical="center"/>
    </xf>
    <xf numFmtId="38" fontId="76" fillId="4" borderId="0" xfId="0" applyNumberFormat="1" applyFont="1" applyFill="1" applyAlignment="1">
      <alignment vertical="center"/>
    </xf>
    <xf numFmtId="181" fontId="101" fillId="0" borderId="29" xfId="0" applyNumberFormat="1" applyFont="1" applyBorder="1" applyAlignment="1">
      <alignment horizontal="left" vertical="center" indent="1"/>
    </xf>
    <xf numFmtId="38" fontId="101" fillId="0" borderId="69" xfId="0" applyNumberFormat="1" applyFont="1" applyBorder="1" applyAlignment="1">
      <alignment horizontal="right" vertical="center"/>
    </xf>
    <xf numFmtId="38" fontId="101" fillId="0" borderId="69" xfId="0" applyNumberFormat="1" applyFont="1" applyBorder="1" applyAlignment="1">
      <alignment vertical="center"/>
    </xf>
    <xf numFmtId="38" fontId="101" fillId="0" borderId="72" xfId="0" applyNumberFormat="1" applyFont="1" applyBorder="1" applyAlignment="1">
      <alignment vertical="center"/>
    </xf>
    <xf numFmtId="169" fontId="101" fillId="0" borderId="0" xfId="0" applyFont="1" applyAlignment="1" applyProtection="1">
      <alignment vertical="center"/>
      <protection locked="0"/>
    </xf>
    <xf numFmtId="171" fontId="76" fillId="0" borderId="29" xfId="61" applyNumberFormat="1" applyFont="1" applyBorder="1" applyAlignment="1">
      <alignment horizontal="left" vertical="center" indent="3"/>
    </xf>
    <xf numFmtId="10" fontId="76" fillId="0" borderId="70" xfId="47" applyNumberFormat="1" applyFont="1" applyFill="1" applyBorder="1" applyAlignment="1" applyProtection="1">
      <alignment vertical="center"/>
    </xf>
    <xf numFmtId="10" fontId="76" fillId="0" borderId="27" xfId="47" applyNumberFormat="1" applyFont="1" applyFill="1" applyBorder="1" applyAlignment="1" applyProtection="1">
      <alignment horizontal="right" vertical="center"/>
    </xf>
    <xf numFmtId="171" fontId="76" fillId="0" borderId="0" xfId="47" applyNumberFormat="1" applyFont="1" applyFill="1" applyBorder="1" applyAlignment="1" applyProtection="1">
      <alignment horizontal="right" vertical="center"/>
      <protection locked="0"/>
    </xf>
    <xf numFmtId="171" fontId="106" fillId="0" borderId="0" xfId="47" applyNumberFormat="1" applyFont="1" applyFill="1" applyBorder="1" applyAlignment="1" applyProtection="1">
      <alignment horizontal="right" vertical="center"/>
      <protection locked="0"/>
    </xf>
    <xf numFmtId="171" fontId="81" fillId="0" borderId="26" xfId="47" applyNumberFormat="1" applyFont="1" applyFill="1" applyBorder="1" applyAlignment="1" applyProtection="1">
      <alignment horizontal="right" vertical="center"/>
    </xf>
    <xf numFmtId="171" fontId="106" fillId="0" borderId="26" xfId="47" applyNumberFormat="1" applyFont="1" applyFill="1" applyBorder="1" applyAlignment="1" applyProtection="1">
      <alignment horizontal="right" vertical="center"/>
    </xf>
    <xf numFmtId="171" fontId="106" fillId="0" borderId="27" xfId="47" applyNumberFormat="1" applyFont="1" applyFill="1" applyBorder="1" applyAlignment="1" applyProtection="1">
      <alignment horizontal="right" vertical="center"/>
    </xf>
    <xf numFmtId="0" fontId="104" fillId="0" borderId="29" xfId="0" applyNumberFormat="1" applyFont="1" applyBorder="1" applyAlignment="1">
      <alignment horizontal="left" vertical="center" indent="2"/>
    </xf>
    <xf numFmtId="195" fontId="104" fillId="0" borderId="26" xfId="0" applyNumberFormat="1" applyFont="1" applyBorder="1" applyAlignment="1">
      <alignment horizontal="right" vertical="center"/>
    </xf>
    <xf numFmtId="171" fontId="104" fillId="0" borderId="26" xfId="0" applyNumberFormat="1" applyFont="1" applyBorder="1" applyAlignment="1">
      <alignment vertical="center"/>
    </xf>
    <xf numFmtId="171" fontId="105" fillId="0" borderId="26" xfId="0" applyNumberFormat="1" applyFont="1" applyBorder="1" applyAlignment="1">
      <alignment vertical="center"/>
    </xf>
    <xf numFmtId="171" fontId="105" fillId="0" borderId="27" xfId="0" applyNumberFormat="1" applyFont="1" applyBorder="1" applyAlignment="1">
      <alignment vertical="center"/>
    </xf>
    <xf numFmtId="169" fontId="105" fillId="0" borderId="0" xfId="0" applyFont="1" applyAlignment="1" applyProtection="1">
      <alignment vertical="center"/>
      <protection locked="0"/>
    </xf>
    <xf numFmtId="171" fontId="104" fillId="0" borderId="26" xfId="0" applyNumberFormat="1" applyFont="1" applyBorder="1" applyAlignment="1">
      <alignment horizontal="right" vertical="center"/>
    </xf>
    <xf numFmtId="38" fontId="104" fillId="0" borderId="71" xfId="0" applyNumberFormat="1" applyFont="1" applyBorder="1" applyAlignment="1" applyProtection="1">
      <alignment horizontal="left" vertical="center" indent="2"/>
      <protection locked="0"/>
    </xf>
    <xf numFmtId="38" fontId="104" fillId="0" borderId="69" xfId="47" applyNumberFormat="1" applyFont="1" applyFill="1" applyBorder="1" applyAlignment="1">
      <alignment horizontal="right" vertical="center"/>
    </xf>
    <xf numFmtId="38" fontId="104" fillId="0" borderId="69" xfId="47" applyNumberFormat="1" applyFont="1" applyFill="1" applyBorder="1" applyAlignment="1">
      <alignment vertical="center"/>
    </xf>
    <xf numFmtId="38" fontId="104" fillId="0" borderId="0" xfId="0" applyNumberFormat="1" applyFont="1" applyAlignment="1">
      <alignment vertical="center"/>
    </xf>
    <xf numFmtId="38" fontId="79" fillId="0" borderId="73" xfId="0" applyNumberFormat="1" applyFont="1" applyBorder="1" applyAlignment="1" applyProtection="1">
      <alignment horizontal="left" vertical="center" indent="1"/>
      <protection locked="0"/>
    </xf>
    <xf numFmtId="38" fontId="79" fillId="0" borderId="69" xfId="47" applyNumberFormat="1" applyFont="1" applyFill="1" applyBorder="1" applyAlignment="1">
      <alignment horizontal="right" vertical="center"/>
    </xf>
    <xf numFmtId="38" fontId="79" fillId="0" borderId="69" xfId="47" applyNumberFormat="1" applyFont="1" applyFill="1" applyBorder="1" applyAlignment="1">
      <alignment vertical="center"/>
    </xf>
    <xf numFmtId="38" fontId="79" fillId="0" borderId="72" xfId="47" applyNumberFormat="1" applyFont="1" applyFill="1" applyBorder="1" applyAlignment="1">
      <alignment horizontal="right" vertical="center"/>
    </xf>
    <xf numFmtId="38" fontId="72" fillId="4" borderId="74" xfId="0" applyNumberFormat="1" applyFont="1" applyFill="1" applyBorder="1" applyAlignment="1" applyProtection="1">
      <alignment horizontal="left" vertical="center" indent="1"/>
      <protection locked="0"/>
    </xf>
    <xf numFmtId="38" fontId="72" fillId="4" borderId="69" xfId="61" applyNumberFormat="1" applyFont="1" applyFill="1" applyBorder="1" applyAlignment="1">
      <alignment horizontal="right" vertical="center"/>
    </xf>
    <xf numFmtId="38" fontId="72" fillId="4" borderId="72" xfId="61" applyNumberFormat="1" applyFont="1" applyFill="1" applyBorder="1" applyAlignment="1">
      <alignment horizontal="right" vertical="center"/>
    </xf>
    <xf numFmtId="38" fontId="76" fillId="4" borderId="26" xfId="61" applyNumberFormat="1" applyFont="1" applyFill="1" applyBorder="1" applyAlignment="1">
      <alignment horizontal="right" vertical="center"/>
    </xf>
    <xf numFmtId="38" fontId="76" fillId="4" borderId="27" xfId="61" applyNumberFormat="1" applyFont="1" applyFill="1" applyBorder="1" applyAlignment="1">
      <alignment horizontal="right" vertical="center"/>
    </xf>
    <xf numFmtId="37" fontId="76" fillId="4" borderId="68" xfId="61" applyNumberFormat="1" applyFont="1" applyFill="1" applyBorder="1" applyAlignment="1">
      <alignment horizontal="left" vertical="center" indent="3"/>
    </xf>
    <xf numFmtId="38" fontId="76" fillId="4" borderId="65" xfId="61" applyNumberFormat="1" applyFont="1" applyFill="1" applyBorder="1" applyAlignment="1">
      <alignment horizontal="right" vertical="center"/>
    </xf>
    <xf numFmtId="38" fontId="76" fillId="4" borderId="61" xfId="61" applyNumberFormat="1" applyFont="1" applyFill="1" applyBorder="1" applyAlignment="1">
      <alignment horizontal="right" vertical="center"/>
    </xf>
    <xf numFmtId="38" fontId="76" fillId="4" borderId="75" xfId="61" applyNumberFormat="1" applyFont="1" applyFill="1" applyBorder="1" applyAlignment="1">
      <alignment horizontal="right" vertical="center"/>
    </xf>
    <xf numFmtId="38" fontId="76" fillId="4" borderId="69" xfId="0" applyNumberFormat="1" applyFont="1" applyFill="1" applyBorder="1" applyAlignment="1">
      <alignment vertical="center"/>
    </xf>
    <xf numFmtId="38" fontId="76" fillId="4" borderId="59" xfId="61" applyNumberFormat="1" applyFont="1" applyFill="1" applyBorder="1" applyAlignment="1">
      <alignment horizontal="right" vertical="center"/>
    </xf>
    <xf numFmtId="181" fontId="72" fillId="4" borderId="29" xfId="0" applyNumberFormat="1" applyFont="1" applyFill="1" applyBorder="1" applyAlignment="1">
      <alignment horizontal="left" vertical="center" indent="2"/>
    </xf>
    <xf numFmtId="38" fontId="72" fillId="4" borderId="26" xfId="47" applyNumberFormat="1" applyFont="1" applyFill="1" applyBorder="1" applyAlignment="1">
      <alignment horizontal="right" vertical="center"/>
    </xf>
    <xf numFmtId="38" fontId="72" fillId="4" borderId="27" xfId="47" applyNumberFormat="1" applyFont="1" applyFill="1" applyBorder="1" applyAlignment="1">
      <alignment horizontal="right" vertical="center"/>
    </xf>
    <xf numFmtId="38" fontId="72" fillId="4" borderId="23" xfId="47" applyNumberFormat="1" applyFont="1" applyFill="1" applyBorder="1" applyAlignment="1">
      <alignment horizontal="right" vertical="center"/>
    </xf>
    <xf numFmtId="38" fontId="93" fillId="4" borderId="26" xfId="0" applyNumberFormat="1" applyFont="1" applyFill="1" applyBorder="1" applyAlignment="1">
      <alignment horizontal="right" vertical="center"/>
    </xf>
    <xf numFmtId="166" fontId="72" fillId="4" borderId="22" xfId="57" applyFont="1" applyFill="1" applyBorder="1" applyAlignment="1">
      <alignment horizontal="right" vertical="center"/>
    </xf>
    <xf numFmtId="40" fontId="84" fillId="4" borderId="20" xfId="0" applyNumberFormat="1" applyFont="1" applyFill="1" applyBorder="1" applyAlignment="1">
      <alignment horizontal="left" vertical="center"/>
    </xf>
    <xf numFmtId="38" fontId="93" fillId="4" borderId="29" xfId="0" applyNumberFormat="1" applyFont="1" applyFill="1" applyBorder="1" applyAlignment="1">
      <alignment horizontal="left" vertical="center" indent="2"/>
    </xf>
    <xf numFmtId="38" fontId="93" fillId="4" borderId="27" xfId="0" applyNumberFormat="1" applyFont="1" applyFill="1" applyBorder="1" applyAlignment="1">
      <alignment horizontal="right" vertical="center"/>
    </xf>
    <xf numFmtId="38" fontId="93" fillId="4" borderId="0" xfId="0" applyNumberFormat="1" applyFont="1" applyFill="1" applyAlignment="1" applyProtection="1">
      <alignment vertical="center"/>
      <protection locked="0"/>
    </xf>
    <xf numFmtId="38" fontId="104" fillId="4" borderId="29" xfId="0" applyNumberFormat="1" applyFont="1" applyFill="1" applyBorder="1" applyAlignment="1">
      <alignment horizontal="left" vertical="center" indent="2"/>
    </xf>
    <xf numFmtId="38" fontId="104" fillId="4" borderId="26" xfId="0" applyNumberFormat="1" applyFont="1" applyFill="1" applyBorder="1" applyAlignment="1">
      <alignment horizontal="right" vertical="center"/>
    </xf>
    <xf numFmtId="38" fontId="104" fillId="4" borderId="27" xfId="0" applyNumberFormat="1" applyFont="1" applyFill="1" applyBorder="1" applyAlignment="1">
      <alignment horizontal="right" vertical="center"/>
    </xf>
    <xf numFmtId="38" fontId="104" fillId="4" borderId="0" xfId="0" applyNumberFormat="1" applyFont="1" applyFill="1" applyAlignment="1" applyProtection="1">
      <alignment vertical="center"/>
      <protection locked="0"/>
    </xf>
    <xf numFmtId="195" fontId="104" fillId="4" borderId="27" xfId="0" applyNumberFormat="1" applyFont="1" applyFill="1" applyBorder="1" applyAlignment="1">
      <alignment horizontal="right" vertical="center"/>
    </xf>
    <xf numFmtId="169" fontId="104" fillId="4" borderId="0" xfId="0" applyFont="1" applyFill="1" applyAlignment="1" applyProtection="1">
      <alignment vertical="center"/>
      <protection locked="0"/>
    </xf>
    <xf numFmtId="0" fontId="93" fillId="4" borderId="29" xfId="0" applyNumberFormat="1" applyFont="1" applyFill="1" applyBorder="1" applyAlignment="1">
      <alignment horizontal="left" vertical="center" indent="2"/>
    </xf>
    <xf numFmtId="195" fontId="93" fillId="4" borderId="26" xfId="0" applyNumberFormat="1" applyFont="1" applyFill="1" applyBorder="1" applyAlignment="1">
      <alignment horizontal="right" vertical="center"/>
    </xf>
    <xf numFmtId="195" fontId="93" fillId="4" borderId="27" xfId="0" applyNumberFormat="1" applyFont="1" applyFill="1" applyBorder="1" applyAlignment="1">
      <alignment horizontal="right" vertical="center"/>
    </xf>
    <xf numFmtId="169" fontId="93" fillId="4" borderId="0" xfId="0" applyFont="1" applyFill="1" applyAlignment="1" applyProtection="1">
      <alignment vertical="center"/>
      <protection locked="0"/>
    </xf>
    <xf numFmtId="38" fontId="72" fillId="4" borderId="31" xfId="47" applyNumberFormat="1" applyFont="1" applyFill="1" applyBorder="1" applyAlignment="1">
      <alignment horizontal="right" vertical="center"/>
    </xf>
    <xf numFmtId="38" fontId="79" fillId="0" borderId="74" xfId="0" applyNumberFormat="1" applyFont="1" applyBorder="1" applyAlignment="1" applyProtection="1">
      <alignment horizontal="left" vertical="center" indent="1"/>
      <protection locked="0"/>
    </xf>
    <xf numFmtId="38" fontId="79" fillId="0" borderId="69" xfId="61" applyNumberFormat="1" applyFont="1" applyBorder="1" applyAlignment="1">
      <alignment horizontal="right" vertical="center"/>
    </xf>
    <xf numFmtId="38" fontId="79" fillId="0" borderId="72" xfId="61" applyNumberFormat="1" applyFont="1" applyBorder="1" applyAlignment="1">
      <alignment horizontal="right" vertical="center"/>
    </xf>
    <xf numFmtId="38" fontId="110" fillId="0" borderId="69" xfId="61" applyNumberFormat="1" applyFont="1" applyBorder="1" applyAlignment="1">
      <alignment horizontal="right" vertical="center"/>
    </xf>
    <xf numFmtId="38" fontId="84" fillId="0" borderId="69" xfId="61" applyNumberFormat="1" applyFont="1" applyBorder="1" applyAlignment="1">
      <alignment horizontal="right" vertical="center"/>
    </xf>
    <xf numFmtId="38" fontId="84" fillId="0" borderId="72" xfId="61" applyNumberFormat="1" applyFont="1" applyBorder="1" applyAlignment="1">
      <alignment horizontal="right" vertical="center"/>
    </xf>
    <xf numFmtId="181" fontId="79" fillId="0" borderId="29" xfId="0" applyNumberFormat="1" applyFont="1" applyBorder="1" applyAlignment="1">
      <alignment horizontal="left" vertical="center" indent="2"/>
    </xf>
    <xf numFmtId="38" fontId="79" fillId="0" borderId="38" xfId="47" applyNumberFormat="1" applyFont="1" applyFill="1" applyBorder="1" applyAlignment="1">
      <alignment horizontal="right" vertical="center"/>
    </xf>
    <xf numFmtId="38" fontId="79" fillId="0" borderId="23" xfId="47" applyNumberFormat="1" applyFont="1" applyFill="1" applyBorder="1" applyAlignment="1">
      <alignment horizontal="right" vertical="center"/>
    </xf>
    <xf numFmtId="38" fontId="79" fillId="0" borderId="26" xfId="61" applyNumberFormat="1" applyFont="1" applyBorder="1" applyAlignment="1">
      <alignment horizontal="right" vertical="center"/>
    </xf>
    <xf numFmtId="38" fontId="84" fillId="0" borderId="26" xfId="61" applyNumberFormat="1" applyFont="1" applyBorder="1" applyAlignment="1">
      <alignment horizontal="right" vertical="center"/>
    </xf>
    <xf numFmtId="38" fontId="84" fillId="0" borderId="27" xfId="61" applyNumberFormat="1" applyFont="1" applyBorder="1" applyAlignment="1">
      <alignment horizontal="right" vertical="center"/>
    </xf>
    <xf numFmtId="37" fontId="76" fillId="0" borderId="68" xfId="61" applyNumberFormat="1" applyFont="1" applyBorder="1" applyAlignment="1">
      <alignment horizontal="left" vertical="center" indent="3"/>
    </xf>
    <xf numFmtId="38" fontId="79" fillId="0" borderId="65" xfId="61" applyNumberFormat="1" applyFont="1" applyBorder="1" applyAlignment="1">
      <alignment horizontal="right" vertical="center"/>
    </xf>
    <xf numFmtId="38" fontId="84" fillId="0" borderId="65" xfId="61" applyNumberFormat="1" applyFont="1" applyBorder="1" applyAlignment="1">
      <alignment horizontal="right" vertical="center"/>
    </xf>
    <xf numFmtId="38" fontId="84" fillId="0" borderId="75" xfId="61" applyNumberFormat="1" applyFont="1" applyBorder="1" applyAlignment="1">
      <alignment horizontal="right" vertical="center"/>
    </xf>
    <xf numFmtId="38" fontId="79" fillId="0" borderId="0" xfId="61" applyNumberFormat="1" applyFont="1" applyAlignment="1">
      <alignment horizontal="right" vertical="center"/>
    </xf>
    <xf numFmtId="38" fontId="84" fillId="0" borderId="0" xfId="61" applyNumberFormat="1" applyFont="1" applyAlignment="1">
      <alignment horizontal="right" vertical="center"/>
    </xf>
    <xf numFmtId="38" fontId="84" fillId="0" borderId="30" xfId="61" applyNumberFormat="1" applyFont="1" applyBorder="1" applyAlignment="1">
      <alignment horizontal="right" vertical="center"/>
    </xf>
    <xf numFmtId="38" fontId="79" fillId="0" borderId="71" xfId="0" applyNumberFormat="1" applyFont="1" applyBorder="1" applyAlignment="1" applyProtection="1">
      <alignment horizontal="left" vertical="center" indent="1"/>
      <protection locked="0"/>
    </xf>
    <xf numFmtId="38" fontId="79" fillId="0" borderId="69" xfId="0" applyNumberFormat="1" applyFont="1" applyBorder="1" applyAlignment="1">
      <alignment horizontal="right" vertical="center"/>
    </xf>
    <xf numFmtId="38" fontId="84" fillId="0" borderId="69" xfId="0" applyNumberFormat="1" applyFont="1" applyBorder="1" applyAlignment="1">
      <alignment vertical="center"/>
    </xf>
    <xf numFmtId="38" fontId="79" fillId="0" borderId="72" xfId="0" applyNumberFormat="1" applyFont="1" applyBorder="1" applyAlignment="1">
      <alignment horizontal="right" vertical="center"/>
    </xf>
    <xf numFmtId="181" fontId="72" fillId="0" borderId="29" xfId="0" applyNumberFormat="1" applyFont="1" applyBorder="1" applyAlignment="1">
      <alignment horizontal="left" vertical="center" indent="1"/>
    </xf>
    <xf numFmtId="0" fontId="111" fillId="0" borderId="29" xfId="0" applyNumberFormat="1" applyFont="1" applyBorder="1" applyAlignment="1">
      <alignment horizontal="left" vertical="center" indent="2"/>
    </xf>
    <xf numFmtId="195" fontId="111" fillId="0" borderId="26" xfId="0" applyNumberFormat="1" applyFont="1" applyBorder="1" applyAlignment="1">
      <alignment horizontal="right" vertical="center"/>
    </xf>
    <xf numFmtId="187" fontId="111" fillId="0" borderId="26" xfId="0" applyNumberFormat="1" applyFont="1" applyBorder="1" applyAlignment="1">
      <alignment horizontal="right" vertical="center"/>
    </xf>
    <xf numFmtId="184" fontId="111" fillId="0" borderId="26" xfId="0" applyNumberFormat="1" applyFont="1" applyBorder="1" applyAlignment="1">
      <alignment vertical="center"/>
    </xf>
    <xf numFmtId="184" fontId="111" fillId="0" borderId="27" xfId="0" applyNumberFormat="1" applyFont="1" applyBorder="1" applyAlignment="1">
      <alignment vertical="center"/>
    </xf>
    <xf numFmtId="169" fontId="111" fillId="0" borderId="0" xfId="0" applyFont="1" applyAlignment="1" applyProtection="1">
      <alignment vertical="center"/>
      <protection locked="0"/>
    </xf>
    <xf numFmtId="40" fontId="79" fillId="38" borderId="20" xfId="0" applyNumberFormat="1" applyFont="1" applyFill="1" applyBorder="1" applyAlignment="1">
      <alignment horizontal="left" vertical="center"/>
    </xf>
    <xf numFmtId="38" fontId="79" fillId="4" borderId="74" xfId="0" applyNumberFormat="1" applyFont="1" applyFill="1" applyBorder="1" applyAlignment="1" applyProtection="1">
      <alignment horizontal="left" vertical="center" indent="1"/>
      <protection locked="0"/>
    </xf>
    <xf numFmtId="38" fontId="79" fillId="4" borderId="69" xfId="61" applyNumberFormat="1" applyFont="1" applyFill="1" applyBorder="1" applyAlignment="1">
      <alignment horizontal="right" vertical="center"/>
    </xf>
    <xf numFmtId="38" fontId="79" fillId="4" borderId="72" xfId="61" applyNumberFormat="1" applyFont="1" applyFill="1" applyBorder="1" applyAlignment="1">
      <alignment horizontal="right" vertical="center"/>
    </xf>
    <xf numFmtId="38" fontId="84" fillId="38" borderId="0" xfId="0" applyNumberFormat="1" applyFont="1" applyFill="1" applyAlignment="1">
      <alignment horizontal="left" vertical="center"/>
    </xf>
    <xf numFmtId="38" fontId="84" fillId="0" borderId="71" xfId="61" applyNumberFormat="1" applyFont="1" applyBorder="1" applyAlignment="1">
      <alignment horizontal="left" vertical="center" indent="1"/>
    </xf>
    <xf numFmtId="3" fontId="84" fillId="0" borderId="26" xfId="61" applyNumberFormat="1" applyFont="1" applyBorder="1" applyAlignment="1">
      <alignment horizontal="right" vertical="center"/>
    </xf>
    <xf numFmtId="10" fontId="84" fillId="0" borderId="26" xfId="47" applyNumberFormat="1" applyFont="1" applyFill="1" applyBorder="1" applyAlignment="1">
      <alignment horizontal="right" vertical="center"/>
    </xf>
    <xf numFmtId="3" fontId="84" fillId="0" borderId="27" xfId="61" applyNumberFormat="1" applyFont="1" applyBorder="1" applyAlignment="1">
      <alignment horizontal="right" vertical="center"/>
    </xf>
    <xf numFmtId="169" fontId="84" fillId="0" borderId="0" xfId="0" applyFont="1" applyAlignment="1" applyProtection="1">
      <alignment vertical="center"/>
      <protection locked="0"/>
    </xf>
    <xf numFmtId="171" fontId="84" fillId="0" borderId="71" xfId="47" applyNumberFormat="1" applyFont="1" applyFill="1" applyBorder="1" applyAlignment="1">
      <alignment horizontal="left" vertical="center" indent="1"/>
    </xf>
    <xf numFmtId="38" fontId="79" fillId="0" borderId="76" xfId="0" applyNumberFormat="1" applyFont="1" applyBorder="1" applyAlignment="1" applyProtection="1">
      <alignment horizontal="left" vertical="center" indent="1"/>
      <protection locked="0"/>
    </xf>
    <xf numFmtId="38" fontId="72" fillId="4" borderId="72" xfId="0" applyNumberFormat="1" applyFont="1" applyFill="1" applyBorder="1" applyAlignment="1">
      <alignment horizontal="right" vertical="center"/>
    </xf>
    <xf numFmtId="171" fontId="76" fillId="4" borderId="29" xfId="61" applyNumberFormat="1" applyFont="1" applyFill="1" applyBorder="1" applyAlignment="1">
      <alignment horizontal="left" vertical="center" indent="3"/>
    </xf>
    <xf numFmtId="171" fontId="76" fillId="4" borderId="26" xfId="47" applyNumberFormat="1" applyFont="1" applyFill="1" applyBorder="1" applyAlignment="1" applyProtection="1">
      <alignment horizontal="right" vertical="center"/>
    </xf>
    <xf numFmtId="10" fontId="84" fillId="4" borderId="69" xfId="47" applyNumberFormat="1" applyFont="1" applyFill="1" applyBorder="1" applyAlignment="1" applyProtection="1">
      <alignment horizontal="right" vertical="center"/>
    </xf>
    <xf numFmtId="38" fontId="84" fillId="4" borderId="0" xfId="0" applyNumberFormat="1" applyFont="1" applyFill="1" applyAlignment="1">
      <alignment vertical="center"/>
    </xf>
    <xf numFmtId="9" fontId="84" fillId="4" borderId="69" xfId="47" applyFont="1" applyFill="1" applyBorder="1" applyAlignment="1" applyProtection="1">
      <alignment horizontal="right" vertical="center"/>
    </xf>
    <xf numFmtId="38" fontId="84" fillId="4" borderId="72" xfId="0" applyNumberFormat="1" applyFont="1" applyFill="1" applyBorder="1" applyAlignment="1">
      <alignment horizontal="right" vertical="center"/>
    </xf>
    <xf numFmtId="9" fontId="104" fillId="4" borderId="29" xfId="47" applyFont="1" applyFill="1" applyBorder="1" applyAlignment="1" applyProtection="1">
      <alignment horizontal="left" vertical="center" indent="2"/>
    </xf>
    <xf numFmtId="9" fontId="104" fillId="4" borderId="69" xfId="47" applyFont="1" applyFill="1" applyBorder="1" applyAlignment="1" applyProtection="1">
      <alignment horizontal="right" vertical="center"/>
    </xf>
    <xf numFmtId="171" fontId="104" fillId="4" borderId="69" xfId="47" applyNumberFormat="1" applyFont="1" applyFill="1" applyBorder="1" applyAlignment="1" applyProtection="1">
      <alignment horizontal="right" vertical="center"/>
    </xf>
    <xf numFmtId="9" fontId="104" fillId="4" borderId="72" xfId="47" applyFont="1" applyFill="1" applyBorder="1" applyAlignment="1" applyProtection="1">
      <alignment horizontal="right" vertical="center"/>
    </xf>
    <xf numFmtId="9" fontId="104" fillId="4" borderId="0" xfId="47" applyFont="1" applyFill="1" applyBorder="1" applyAlignment="1">
      <alignment vertical="center"/>
    </xf>
    <xf numFmtId="38" fontId="93" fillId="4" borderId="69" xfId="0" applyNumberFormat="1" applyFont="1" applyFill="1" applyBorder="1" applyAlignment="1">
      <alignment horizontal="right" vertical="center"/>
    </xf>
    <xf numFmtId="171" fontId="93" fillId="4" borderId="69" xfId="47" applyNumberFormat="1" applyFont="1" applyFill="1" applyBorder="1" applyAlignment="1" applyProtection="1">
      <alignment horizontal="right" vertical="center"/>
    </xf>
    <xf numFmtId="38" fontId="93" fillId="4" borderId="72" xfId="0" applyNumberFormat="1" applyFont="1" applyFill="1" applyBorder="1" applyAlignment="1">
      <alignment horizontal="right" vertical="center"/>
    </xf>
    <xf numFmtId="38" fontId="93" fillId="4" borderId="0" xfId="0" applyNumberFormat="1" applyFont="1" applyFill="1" applyAlignment="1">
      <alignment vertical="center"/>
    </xf>
    <xf numFmtId="40" fontId="104" fillId="4" borderId="71" xfId="0" applyNumberFormat="1" applyFont="1" applyFill="1" applyBorder="1" applyAlignment="1" applyProtection="1">
      <alignment horizontal="left" vertical="center" indent="2"/>
      <protection locked="0"/>
    </xf>
    <xf numFmtId="40" fontId="91" fillId="4" borderId="69" xfId="47" applyNumberFormat="1" applyFont="1" applyFill="1" applyBorder="1" applyAlignment="1">
      <alignment horizontal="right" vertical="center"/>
    </xf>
    <xf numFmtId="196" fontId="91" fillId="4" borderId="69" xfId="47" applyNumberFormat="1" applyFont="1" applyFill="1" applyBorder="1" applyAlignment="1">
      <alignment vertical="center"/>
    </xf>
    <xf numFmtId="40" fontId="91" fillId="4" borderId="72" xfId="47" applyNumberFormat="1" applyFont="1" applyFill="1" applyBorder="1" applyAlignment="1">
      <alignment horizontal="right" vertical="center"/>
    </xf>
    <xf numFmtId="40" fontId="91" fillId="4" borderId="0" xfId="0" applyNumberFormat="1" applyFont="1" applyFill="1" applyAlignment="1">
      <alignment vertical="center"/>
    </xf>
    <xf numFmtId="38" fontId="104" fillId="4" borderId="71" xfId="0" applyNumberFormat="1" applyFont="1" applyFill="1" applyBorder="1" applyAlignment="1" applyProtection="1">
      <alignment horizontal="left" vertical="center" indent="2"/>
      <protection locked="0"/>
    </xf>
    <xf numFmtId="38" fontId="91" fillId="4" borderId="69" xfId="47" applyNumberFormat="1" applyFont="1" applyFill="1" applyBorder="1" applyAlignment="1">
      <alignment horizontal="right" vertical="center"/>
    </xf>
    <xf numFmtId="38" fontId="91" fillId="4" borderId="69" xfId="47" applyNumberFormat="1" applyFont="1" applyFill="1" applyBorder="1" applyAlignment="1">
      <alignment vertical="center"/>
    </xf>
    <xf numFmtId="38" fontId="91" fillId="4" borderId="72" xfId="47" applyNumberFormat="1" applyFont="1" applyFill="1" applyBorder="1" applyAlignment="1">
      <alignment horizontal="right" vertical="center"/>
    </xf>
    <xf numFmtId="38" fontId="91" fillId="4" borderId="0" xfId="0" applyNumberFormat="1" applyFont="1" applyFill="1" applyAlignment="1">
      <alignment vertical="center"/>
    </xf>
    <xf numFmtId="38" fontId="79" fillId="4" borderId="71" xfId="0" applyNumberFormat="1" applyFont="1" applyFill="1" applyBorder="1" applyAlignment="1" applyProtection="1">
      <alignment horizontal="left" vertical="center" indent="1"/>
      <protection locked="0"/>
    </xf>
    <xf numFmtId="38" fontId="79" fillId="4" borderId="72" xfId="0" applyNumberFormat="1" applyFont="1" applyFill="1" applyBorder="1" applyAlignment="1">
      <alignment horizontal="right" vertical="center"/>
    </xf>
    <xf numFmtId="38" fontId="79" fillId="4" borderId="0" xfId="0" applyNumberFormat="1" applyFont="1" applyFill="1" applyAlignment="1">
      <alignment vertical="center"/>
    </xf>
    <xf numFmtId="0" fontId="101" fillId="0" borderId="71" xfId="0" applyNumberFormat="1" applyFont="1" applyBorder="1" applyAlignment="1">
      <alignment horizontal="left" vertical="center" indent="1"/>
    </xf>
    <xf numFmtId="38" fontId="101" fillId="0" borderId="69" xfId="47" applyNumberFormat="1" applyFont="1" applyFill="1" applyBorder="1" applyAlignment="1">
      <alignment horizontal="right" vertical="center"/>
    </xf>
    <xf numFmtId="38" fontId="101" fillId="0" borderId="69" xfId="61" applyNumberFormat="1" applyFont="1" applyBorder="1" applyAlignment="1">
      <alignment vertical="center"/>
    </xf>
    <xf numFmtId="38" fontId="101" fillId="0" borderId="69" xfId="61" applyNumberFormat="1" applyFont="1" applyBorder="1" applyAlignment="1">
      <alignment horizontal="right" vertical="center"/>
    </xf>
    <xf numFmtId="38" fontId="72" fillId="0" borderId="72" xfId="61" applyNumberFormat="1" applyFont="1" applyBorder="1" applyAlignment="1">
      <alignment horizontal="right" vertical="center"/>
    </xf>
    <xf numFmtId="38" fontId="101" fillId="0" borderId="0" xfId="0" applyNumberFormat="1" applyFont="1" applyAlignment="1">
      <alignment vertical="center"/>
    </xf>
    <xf numFmtId="179" fontId="81" fillId="0" borderId="71" xfId="0" applyNumberFormat="1" applyFont="1" applyBorder="1" applyAlignment="1" applyProtection="1">
      <alignment horizontal="left" vertical="center" indent="2"/>
      <protection locked="0"/>
    </xf>
    <xf numFmtId="195" fontId="81" fillId="0" borderId="26" xfId="0" applyNumberFormat="1" applyFont="1" applyBorder="1" applyAlignment="1">
      <alignment horizontal="right" vertical="center"/>
    </xf>
    <xf numFmtId="9" fontId="81" fillId="0" borderId="26" xfId="0" applyNumberFormat="1" applyFont="1" applyBorder="1" applyAlignment="1">
      <alignment horizontal="right" vertical="center"/>
    </xf>
    <xf numFmtId="9" fontId="81" fillId="0" borderId="27" xfId="0" applyNumberFormat="1" applyFont="1" applyBorder="1" applyAlignment="1">
      <alignment horizontal="right" vertical="center"/>
    </xf>
    <xf numFmtId="169" fontId="81" fillId="0" borderId="0" xfId="0" applyFont="1" applyAlignment="1" applyProtection="1">
      <alignment vertical="center"/>
      <protection locked="0"/>
    </xf>
    <xf numFmtId="179" fontId="81" fillId="0" borderId="0" xfId="0" applyNumberFormat="1" applyFont="1" applyAlignment="1" applyProtection="1">
      <alignment horizontal="left" vertical="center" indent="2"/>
      <protection locked="0"/>
    </xf>
    <xf numFmtId="187" fontId="81" fillId="0" borderId="26" xfId="0" applyNumberFormat="1" applyFont="1" applyBorder="1" applyAlignment="1">
      <alignment horizontal="right" vertical="center"/>
    </xf>
    <xf numFmtId="10" fontId="66" fillId="49" borderId="26" xfId="47" applyNumberFormat="1" applyFont="1" applyFill="1" applyBorder="1" applyAlignment="1">
      <alignment horizontal="left" vertical="center" indent="1"/>
    </xf>
    <xf numFmtId="10" fontId="66" fillId="49" borderId="26" xfId="47" applyNumberFormat="1" applyFont="1" applyFill="1" applyBorder="1" applyAlignment="1">
      <alignment horizontal="right" vertical="center"/>
    </xf>
    <xf numFmtId="10" fontId="66" fillId="49" borderId="26" xfId="47" applyNumberFormat="1" applyFont="1" applyFill="1" applyBorder="1" applyAlignment="1">
      <alignment vertical="center"/>
    </xf>
    <xf numFmtId="10" fontId="66" fillId="49" borderId="26" xfId="47" applyNumberFormat="1" applyFont="1" applyFill="1" applyBorder="1" applyAlignment="1" applyProtection="1">
      <alignment horizontal="left" vertical="center" indent="1"/>
      <protection locked="0"/>
    </xf>
    <xf numFmtId="10" fontId="114" fillId="0" borderId="0" xfId="47" applyNumberFormat="1" applyFont="1" applyFill="1" applyBorder="1" applyAlignment="1" applyProtection="1">
      <alignment vertical="center"/>
      <protection locked="0"/>
    </xf>
    <xf numFmtId="10" fontId="101" fillId="0" borderId="22" xfId="47" applyNumberFormat="1" applyFont="1" applyFill="1" applyBorder="1" applyAlignment="1" applyProtection="1">
      <alignment vertical="center"/>
    </xf>
    <xf numFmtId="38" fontId="84" fillId="0" borderId="69" xfId="0" applyNumberFormat="1" applyFont="1" applyBorder="1" applyAlignment="1">
      <alignment horizontal="right" vertical="center"/>
    </xf>
    <xf numFmtId="166" fontId="115" fillId="0" borderId="69" xfId="57" applyFont="1" applyFill="1" applyBorder="1" applyAlignment="1" applyProtection="1">
      <alignment horizontal="right" vertical="center"/>
    </xf>
    <xf numFmtId="184" fontId="84" fillId="0" borderId="0" xfId="0" applyNumberFormat="1" applyFont="1" applyAlignment="1">
      <alignment vertical="center"/>
    </xf>
    <xf numFmtId="184" fontId="84" fillId="0" borderId="30" xfId="0" applyNumberFormat="1" applyFont="1" applyBorder="1" applyAlignment="1">
      <alignment vertical="center"/>
    </xf>
    <xf numFmtId="10" fontId="84" fillId="0" borderId="69" xfId="47" applyNumberFormat="1" applyFont="1" applyFill="1" applyBorder="1" applyAlignment="1" applyProtection="1">
      <alignment horizontal="right" vertical="center"/>
    </xf>
    <xf numFmtId="171" fontId="84" fillId="0" borderId="69" xfId="47" applyNumberFormat="1" applyFont="1" applyFill="1" applyBorder="1" applyAlignment="1" applyProtection="1">
      <alignment horizontal="right" vertical="center"/>
    </xf>
    <xf numFmtId="171" fontId="84" fillId="0" borderId="69" xfId="47" applyNumberFormat="1" applyFont="1" applyFill="1" applyBorder="1" applyAlignment="1" applyProtection="1">
      <alignment vertical="center"/>
    </xf>
    <xf numFmtId="10" fontId="84" fillId="0" borderId="26" xfId="47" applyNumberFormat="1" applyFont="1" applyFill="1" applyBorder="1" applyAlignment="1" applyProtection="1">
      <alignment horizontal="right" vertical="center"/>
    </xf>
    <xf numFmtId="171" fontId="84" fillId="0" borderId="26" xfId="47" applyNumberFormat="1" applyFont="1" applyFill="1" applyBorder="1" applyAlignment="1" applyProtection="1">
      <alignment horizontal="right" vertical="center"/>
    </xf>
    <xf numFmtId="171" fontId="84" fillId="0" borderId="26" xfId="0" applyNumberFormat="1" applyFont="1" applyBorder="1" applyAlignment="1">
      <alignment horizontal="right" vertical="center"/>
    </xf>
    <xf numFmtId="171" fontId="84" fillId="0" borderId="26" xfId="0" applyNumberFormat="1" applyFont="1" applyBorder="1" applyAlignment="1">
      <alignment vertical="center"/>
    </xf>
    <xf numFmtId="184" fontId="84" fillId="0" borderId="26" xfId="0" applyNumberFormat="1" applyFont="1" applyBorder="1" applyAlignment="1">
      <alignment vertical="center"/>
    </xf>
    <xf numFmtId="184" fontId="84" fillId="0" borderId="27" xfId="0" applyNumberFormat="1" applyFont="1" applyBorder="1" applyAlignment="1">
      <alignment vertical="center"/>
    </xf>
    <xf numFmtId="38" fontId="84" fillId="37" borderId="70" xfId="0" applyNumberFormat="1" applyFont="1" applyFill="1" applyBorder="1" applyAlignment="1">
      <alignment horizontal="right" vertical="center"/>
    </xf>
    <xf numFmtId="38" fontId="84" fillId="0" borderId="70" xfId="0" applyNumberFormat="1" applyFont="1" applyBorder="1" applyAlignment="1">
      <alignment horizontal="right" vertical="center"/>
    </xf>
    <xf numFmtId="38" fontId="84" fillId="0" borderId="70" xfId="0" applyNumberFormat="1" applyFont="1" applyBorder="1" applyAlignment="1">
      <alignment vertical="center"/>
    </xf>
    <xf numFmtId="38" fontId="84" fillId="0" borderId="77" xfId="0" applyNumberFormat="1" applyFont="1" applyBorder="1" applyAlignment="1">
      <alignment vertical="center"/>
    </xf>
    <xf numFmtId="38" fontId="84" fillId="0" borderId="30" xfId="0" applyNumberFormat="1" applyFont="1" applyBorder="1" applyAlignment="1">
      <alignment vertical="center"/>
    </xf>
    <xf numFmtId="38" fontId="81" fillId="50" borderId="69" xfId="0" applyNumberFormat="1" applyFont="1" applyFill="1" applyBorder="1" applyAlignment="1">
      <alignment horizontal="right" vertical="center"/>
    </xf>
    <xf numFmtId="166" fontId="81" fillId="0" borderId="69" xfId="57" applyFont="1" applyFill="1" applyBorder="1" applyAlignment="1" applyProtection="1">
      <alignment horizontal="right" vertical="center"/>
    </xf>
    <xf numFmtId="38" fontId="76" fillId="0" borderId="78" xfId="0" applyNumberFormat="1" applyFont="1" applyBorder="1" applyAlignment="1">
      <alignment vertical="center"/>
    </xf>
    <xf numFmtId="38" fontId="76" fillId="4" borderId="29" xfId="61" applyNumberFormat="1" applyFont="1" applyFill="1" applyBorder="1" applyAlignment="1">
      <alignment horizontal="left" vertical="center" indent="3"/>
    </xf>
    <xf numFmtId="38" fontId="84" fillId="4" borderId="0" xfId="0" applyNumberFormat="1" applyFont="1" applyFill="1" applyAlignment="1" applyProtection="1">
      <alignment vertical="center"/>
      <protection locked="0"/>
    </xf>
    <xf numFmtId="38" fontId="101" fillId="4" borderId="69" xfId="0" applyNumberFormat="1" applyFont="1" applyFill="1" applyBorder="1" applyAlignment="1">
      <alignment vertical="center"/>
    </xf>
    <xf numFmtId="176" fontId="72" fillId="4" borderId="22" xfId="57" applyNumberFormat="1" applyFont="1" applyFill="1" applyBorder="1" applyAlignment="1">
      <alignment horizontal="right" vertical="center"/>
    </xf>
    <xf numFmtId="179" fontId="105" fillId="4" borderId="26" xfId="0" applyNumberFormat="1" applyFont="1" applyFill="1" applyBorder="1" applyAlignment="1">
      <alignment vertical="center"/>
    </xf>
    <xf numFmtId="179" fontId="104" fillId="4" borderId="26" xfId="0" applyNumberFormat="1" applyFont="1" applyFill="1" applyBorder="1" applyAlignment="1">
      <alignment horizontal="right" vertical="center"/>
    </xf>
    <xf numFmtId="166" fontId="76" fillId="0" borderId="26" xfId="57" applyFont="1" applyFill="1" applyBorder="1" applyAlignment="1" applyProtection="1">
      <alignment horizontal="right" vertical="center"/>
    </xf>
    <xf numFmtId="171" fontId="76" fillId="0" borderId="27" xfId="47" applyNumberFormat="1" applyFont="1" applyFill="1" applyBorder="1" applyAlignment="1" applyProtection="1">
      <alignment horizontal="right" vertical="center"/>
    </xf>
    <xf numFmtId="171" fontId="104" fillId="0" borderId="29" xfId="47" applyNumberFormat="1" applyFont="1" applyFill="1" applyBorder="1" applyAlignment="1" applyProtection="1">
      <alignment horizontal="left" vertical="center" indent="2"/>
    </xf>
    <xf numFmtId="171" fontId="104" fillId="0" borderId="26" xfId="47" applyNumberFormat="1" applyFont="1" applyFill="1" applyBorder="1" applyAlignment="1" applyProtection="1">
      <alignment horizontal="right" vertical="center"/>
    </xf>
    <xf numFmtId="171" fontId="105" fillId="0" borderId="0" xfId="47" applyNumberFormat="1" applyFont="1" applyFill="1" applyBorder="1" applyAlignment="1" applyProtection="1">
      <alignment vertical="center"/>
      <protection locked="0"/>
    </xf>
    <xf numFmtId="184" fontId="105" fillId="0" borderId="26" xfId="0" applyNumberFormat="1" applyFont="1" applyBorder="1" applyAlignment="1">
      <alignment vertical="center"/>
    </xf>
    <xf numFmtId="184" fontId="105" fillId="0" borderId="27" xfId="0" applyNumberFormat="1" applyFont="1" applyBorder="1" applyAlignment="1">
      <alignment vertical="center"/>
    </xf>
    <xf numFmtId="9" fontId="104" fillId="0" borderId="26" xfId="47" applyFont="1" applyFill="1" applyBorder="1" applyAlignment="1" applyProtection="1">
      <alignment horizontal="right" vertical="center"/>
    </xf>
    <xf numFmtId="38" fontId="104" fillId="0" borderId="72" xfId="47" applyNumberFormat="1" applyFont="1" applyFill="1" applyBorder="1" applyAlignment="1">
      <alignment horizontal="right" vertical="center"/>
    </xf>
    <xf numFmtId="197" fontId="84" fillId="4" borderId="20" xfId="57" applyNumberFormat="1" applyFont="1" applyFill="1" applyBorder="1" applyAlignment="1">
      <alignment horizontal="left" vertical="center"/>
    </xf>
    <xf numFmtId="197" fontId="76" fillId="4" borderId="29" xfId="57" applyNumberFormat="1" applyFont="1" applyFill="1" applyBorder="1" applyAlignment="1">
      <alignment horizontal="left" vertical="center" indent="3"/>
    </xf>
    <xf numFmtId="197" fontId="76" fillId="4" borderId="26" xfId="57" applyNumberFormat="1" applyFont="1" applyFill="1" applyBorder="1" applyAlignment="1">
      <alignment horizontal="right" vertical="center"/>
    </xf>
    <xf numFmtId="197" fontId="84" fillId="4" borderId="0" xfId="57" applyNumberFormat="1" applyFont="1" applyFill="1" applyBorder="1" applyAlignment="1">
      <alignment horizontal="left" vertical="center"/>
    </xf>
    <xf numFmtId="197" fontId="76" fillId="4" borderId="0" xfId="57" applyNumberFormat="1" applyFont="1" applyFill="1" applyBorder="1" applyAlignment="1">
      <alignment vertical="center"/>
    </xf>
    <xf numFmtId="197" fontId="76" fillId="4" borderId="68" xfId="57" applyNumberFormat="1" applyFont="1" applyFill="1" applyBorder="1" applyAlignment="1">
      <alignment horizontal="left" vertical="center" indent="3"/>
    </xf>
    <xf numFmtId="197" fontId="76" fillId="4" borderId="65" xfId="57" applyNumberFormat="1" applyFont="1" applyFill="1" applyBorder="1" applyAlignment="1">
      <alignment horizontal="right" vertical="center"/>
    </xf>
    <xf numFmtId="197" fontId="76" fillId="4" borderId="69" xfId="57" applyNumberFormat="1" applyFont="1" applyFill="1" applyBorder="1" applyAlignment="1">
      <alignment horizontal="right" vertical="center"/>
    </xf>
    <xf numFmtId="38" fontId="116" fillId="4" borderId="29" xfId="0" applyNumberFormat="1" applyFont="1" applyFill="1" applyBorder="1" applyAlignment="1">
      <alignment horizontal="left" vertical="center" indent="2"/>
    </xf>
    <xf numFmtId="38" fontId="116" fillId="4" borderId="26" xfId="0" applyNumberFormat="1" applyFont="1" applyFill="1" applyBorder="1" applyAlignment="1">
      <alignment horizontal="right" vertical="center"/>
    </xf>
    <xf numFmtId="38" fontId="116" fillId="4" borderId="0" xfId="0" applyNumberFormat="1" applyFont="1" applyFill="1" applyAlignment="1" applyProtection="1">
      <alignment vertical="center"/>
      <protection locked="0"/>
    </xf>
    <xf numFmtId="0" fontId="116" fillId="4" borderId="29" xfId="0" applyNumberFormat="1" applyFont="1" applyFill="1" applyBorder="1" applyAlignment="1">
      <alignment horizontal="left" vertical="center" indent="2"/>
    </xf>
    <xf numFmtId="195" fontId="116" fillId="4" borderId="26" xfId="0" applyNumberFormat="1" applyFont="1" applyFill="1" applyBorder="1" applyAlignment="1">
      <alignment horizontal="right" vertical="center"/>
    </xf>
    <xf numFmtId="195" fontId="116" fillId="4" borderId="27" xfId="0" applyNumberFormat="1" applyFont="1" applyFill="1" applyBorder="1" applyAlignment="1">
      <alignment horizontal="right" vertical="center"/>
    </xf>
    <xf numFmtId="169" fontId="116" fillId="4" borderId="0" xfId="0" applyFont="1" applyFill="1" applyAlignment="1" applyProtection="1">
      <alignment vertical="center"/>
      <protection locked="0"/>
    </xf>
    <xf numFmtId="171" fontId="84" fillId="0" borderId="26" xfId="47" applyNumberFormat="1" applyFont="1" applyFill="1" applyBorder="1" applyAlignment="1">
      <alignment horizontal="right" vertical="center"/>
    </xf>
    <xf numFmtId="171" fontId="84" fillId="0" borderId="27" xfId="47" applyNumberFormat="1" applyFont="1" applyFill="1" applyBorder="1" applyAlignment="1">
      <alignment horizontal="right" vertical="center"/>
    </xf>
    <xf numFmtId="171" fontId="84" fillId="0" borderId="0" xfId="47" applyNumberFormat="1" applyFont="1" applyFill="1" applyBorder="1" applyAlignment="1" applyProtection="1">
      <alignment vertical="center"/>
      <protection locked="0"/>
    </xf>
    <xf numFmtId="181" fontId="101" fillId="4" borderId="29" xfId="0" applyNumberFormat="1" applyFont="1" applyFill="1" applyBorder="1" applyAlignment="1">
      <alignment horizontal="left" vertical="center" indent="1"/>
    </xf>
    <xf numFmtId="38" fontId="101" fillId="4" borderId="69" xfId="0" applyNumberFormat="1" applyFont="1" applyFill="1" applyBorder="1" applyAlignment="1">
      <alignment horizontal="right" vertical="center"/>
    </xf>
    <xf numFmtId="38" fontId="101" fillId="4" borderId="0" xfId="0" applyNumberFormat="1" applyFont="1" applyFill="1" applyAlignment="1">
      <alignment vertical="center"/>
    </xf>
    <xf numFmtId="171" fontId="84" fillId="4" borderId="69" xfId="47" applyNumberFormat="1" applyFont="1" applyFill="1" applyBorder="1" applyAlignment="1" applyProtection="1">
      <alignment horizontal="right" vertical="center"/>
    </xf>
    <xf numFmtId="10" fontId="84" fillId="4" borderId="69" xfId="0" applyNumberFormat="1" applyFont="1" applyFill="1" applyBorder="1" applyAlignment="1">
      <alignment vertical="center"/>
    </xf>
    <xf numFmtId="171" fontId="93" fillId="0" borderId="69" xfId="47" applyNumberFormat="1" applyFont="1" applyFill="1" applyBorder="1" applyAlignment="1" applyProtection="1">
      <alignment horizontal="right" vertical="center"/>
    </xf>
    <xf numFmtId="196" fontId="91" fillId="4" borderId="69" xfId="47" applyNumberFormat="1" applyFont="1" applyFill="1" applyBorder="1" applyAlignment="1">
      <alignment horizontal="right" vertical="center"/>
    </xf>
    <xf numFmtId="40" fontId="91" fillId="0" borderId="69" xfId="47" applyNumberFormat="1" applyFont="1" applyFill="1" applyBorder="1" applyAlignment="1">
      <alignment horizontal="right" vertical="center"/>
    </xf>
    <xf numFmtId="38" fontId="91" fillId="0" borderId="69" xfId="47" applyNumberFormat="1" applyFont="1" applyFill="1" applyBorder="1" applyAlignment="1">
      <alignment horizontal="right" vertical="center"/>
    </xf>
    <xf numFmtId="38" fontId="117" fillId="0" borderId="69" xfId="61" applyNumberFormat="1" applyFont="1" applyBorder="1" applyAlignment="1">
      <alignment vertical="center"/>
    </xf>
    <xf numFmtId="38" fontId="101" fillId="0" borderId="72" xfId="61" applyNumberFormat="1" applyFont="1" applyBorder="1" applyAlignment="1">
      <alignment horizontal="right" vertical="center"/>
    </xf>
    <xf numFmtId="179" fontId="76" fillId="0" borderId="71" xfId="0" applyNumberFormat="1" applyFont="1" applyBorder="1" applyAlignment="1" applyProtection="1">
      <alignment horizontal="left" vertical="center" indent="2"/>
      <protection locked="0"/>
    </xf>
    <xf numFmtId="195" fontId="76" fillId="0" borderId="26" xfId="0" applyNumberFormat="1" applyFont="1" applyBorder="1" applyAlignment="1">
      <alignment horizontal="right" vertical="center"/>
    </xf>
    <xf numFmtId="195" fontId="106" fillId="0" borderId="26" xfId="0" applyNumberFormat="1" applyFont="1" applyBorder="1" applyAlignment="1">
      <alignment horizontal="right" vertical="center"/>
    </xf>
    <xf numFmtId="195" fontId="76" fillId="0" borderId="27" xfId="0" applyNumberFormat="1" applyFont="1" applyBorder="1" applyAlignment="1">
      <alignment horizontal="right" vertical="center"/>
    </xf>
    <xf numFmtId="169" fontId="76" fillId="0" borderId="0" xfId="0" applyFont="1" applyAlignment="1" applyProtection="1">
      <alignment vertical="center"/>
      <protection locked="0"/>
    </xf>
    <xf numFmtId="179" fontId="81" fillId="0" borderId="79" xfId="0" applyNumberFormat="1" applyFont="1" applyBorder="1" applyAlignment="1" applyProtection="1">
      <alignment horizontal="left" vertical="center" indent="2"/>
      <protection locked="0"/>
    </xf>
    <xf numFmtId="195" fontId="81" fillId="0" borderId="0" xfId="0" applyNumberFormat="1" applyFont="1" applyAlignment="1">
      <alignment horizontal="right" vertical="center"/>
    </xf>
    <xf numFmtId="195" fontId="81" fillId="0" borderId="30" xfId="0" applyNumberFormat="1" applyFont="1" applyBorder="1" applyAlignment="1">
      <alignment horizontal="right" vertical="center"/>
    </xf>
    <xf numFmtId="10" fontId="99" fillId="51" borderId="26" xfId="47" applyNumberFormat="1" applyFont="1" applyFill="1" applyBorder="1" applyAlignment="1" applyProtection="1">
      <alignment vertical="center"/>
      <protection locked="0"/>
    </xf>
    <xf numFmtId="10" fontId="66" fillId="51" borderId="26" xfId="47" applyNumberFormat="1" applyFont="1" applyFill="1" applyBorder="1" applyAlignment="1">
      <alignment horizontal="right" vertical="center"/>
    </xf>
    <xf numFmtId="10" fontId="66" fillId="51" borderId="26" xfId="47" applyNumberFormat="1" applyFont="1" applyFill="1" applyBorder="1" applyAlignment="1">
      <alignment vertical="center"/>
    </xf>
    <xf numFmtId="10" fontId="66" fillId="51" borderId="26" xfId="47" applyNumberFormat="1" applyFont="1" applyFill="1" applyBorder="1" applyAlignment="1" applyProtection="1">
      <alignment horizontal="left" vertical="center" indent="1"/>
      <protection locked="0"/>
    </xf>
    <xf numFmtId="10" fontId="84" fillId="0" borderId="69" xfId="0" applyNumberFormat="1" applyFont="1" applyBorder="1" applyAlignment="1">
      <alignment horizontal="right" vertical="center"/>
    </xf>
    <xf numFmtId="171" fontId="84" fillId="0" borderId="69" xfId="0" applyNumberFormat="1" applyFont="1" applyBorder="1" applyAlignment="1">
      <alignment horizontal="right" vertical="center"/>
    </xf>
    <xf numFmtId="171" fontId="84" fillId="0" borderId="69" xfId="0" applyNumberFormat="1" applyFont="1" applyBorder="1" applyAlignment="1">
      <alignment vertical="center"/>
    </xf>
    <xf numFmtId="10" fontId="84" fillId="0" borderId="69" xfId="0" applyNumberFormat="1" applyFont="1" applyBorder="1" applyAlignment="1">
      <alignment vertical="center"/>
    </xf>
    <xf numFmtId="38" fontId="79" fillId="0" borderId="28" xfId="0" applyNumberFormat="1" applyFont="1" applyBorder="1" applyAlignment="1">
      <alignment horizontal="left" vertical="center"/>
    </xf>
    <xf numFmtId="0" fontId="84" fillId="0" borderId="62" xfId="0" applyNumberFormat="1" applyFont="1" applyBorder="1" applyAlignment="1">
      <alignment horizontal="left" vertical="center" indent="1"/>
    </xf>
    <xf numFmtId="38" fontId="79" fillId="0" borderId="69" xfId="0" applyNumberFormat="1" applyFont="1" applyBorder="1" applyAlignment="1">
      <alignment vertical="center"/>
    </xf>
    <xf numFmtId="169" fontId="79" fillId="0" borderId="0" xfId="0" applyFont="1" applyAlignment="1" applyProtection="1">
      <alignment vertical="center"/>
      <protection locked="0"/>
    </xf>
    <xf numFmtId="10" fontId="84" fillId="0" borderId="69" xfId="47" applyNumberFormat="1" applyFont="1" applyFill="1" applyBorder="1" applyAlignment="1" applyProtection="1">
      <alignment vertical="center"/>
    </xf>
    <xf numFmtId="38" fontId="84" fillId="37" borderId="69" xfId="0" applyNumberFormat="1" applyFont="1" applyFill="1" applyBorder="1" applyAlignment="1">
      <alignment horizontal="right" vertical="center"/>
    </xf>
    <xf numFmtId="40" fontId="102" fillId="4" borderId="20" xfId="0" applyNumberFormat="1" applyFont="1" applyFill="1" applyBorder="1" applyAlignment="1">
      <alignment horizontal="left" vertical="center"/>
    </xf>
    <xf numFmtId="0" fontId="118" fillId="4" borderId="71" xfId="0" applyNumberFormat="1" applyFont="1" applyFill="1" applyBorder="1" applyAlignment="1">
      <alignment horizontal="left" vertical="center" indent="1"/>
    </xf>
    <xf numFmtId="38" fontId="118" fillId="4" borderId="69" xfId="0" applyNumberFormat="1" applyFont="1" applyFill="1" applyBorder="1" applyAlignment="1">
      <alignment horizontal="right" vertical="center"/>
    </xf>
    <xf numFmtId="38" fontId="102" fillId="4" borderId="69" xfId="0" applyNumberFormat="1" applyFont="1" applyFill="1" applyBorder="1" applyAlignment="1">
      <alignment horizontal="right" vertical="center"/>
    </xf>
    <xf numFmtId="38" fontId="102" fillId="4" borderId="72" xfId="0" applyNumberFormat="1" applyFont="1" applyFill="1" applyBorder="1" applyAlignment="1">
      <alignment vertical="center"/>
    </xf>
    <xf numFmtId="38" fontId="102" fillId="4" borderId="28" xfId="0" applyNumberFormat="1" applyFont="1" applyFill="1" applyBorder="1" applyAlignment="1">
      <alignment horizontal="left" vertical="center"/>
    </xf>
    <xf numFmtId="169" fontId="102" fillId="4" borderId="0" xfId="0" applyFont="1" applyFill="1" applyAlignment="1" applyProtection="1">
      <alignment vertical="center"/>
      <protection locked="0"/>
    </xf>
    <xf numFmtId="38" fontId="119" fillId="4" borderId="29" xfId="61" applyNumberFormat="1" applyFont="1" applyFill="1" applyBorder="1" applyAlignment="1">
      <alignment horizontal="left" vertical="center" indent="3"/>
    </xf>
    <xf numFmtId="38" fontId="118" fillId="4" borderId="69" xfId="0" applyNumberFormat="1" applyFont="1" applyFill="1" applyBorder="1" applyAlignment="1">
      <alignment vertical="center"/>
    </xf>
    <xf numFmtId="38" fontId="102" fillId="4" borderId="69" xfId="0" applyNumberFormat="1" applyFont="1" applyFill="1" applyBorder="1" applyAlignment="1">
      <alignment vertical="center"/>
    </xf>
    <xf numFmtId="38" fontId="102" fillId="4" borderId="0" xfId="0" applyNumberFormat="1" applyFont="1" applyFill="1" applyAlignment="1" applyProtection="1">
      <alignment vertical="center"/>
      <protection locked="0"/>
    </xf>
    <xf numFmtId="0" fontId="77" fillId="4" borderId="29" xfId="0" applyNumberFormat="1" applyFont="1" applyFill="1" applyBorder="1" applyAlignment="1">
      <alignment horizontal="left" vertical="center" indent="2"/>
    </xf>
    <xf numFmtId="38" fontId="77" fillId="4" borderId="69" xfId="0" applyNumberFormat="1" applyFont="1" applyFill="1" applyBorder="1" applyAlignment="1">
      <alignment horizontal="right" vertical="center"/>
    </xf>
    <xf numFmtId="38" fontId="77" fillId="4" borderId="69" xfId="0" applyNumberFormat="1" applyFont="1" applyFill="1" applyBorder="1" applyAlignment="1">
      <alignment vertical="center"/>
    </xf>
    <xf numFmtId="38" fontId="120" fillId="4" borderId="69" xfId="0" applyNumberFormat="1" applyFont="1" applyFill="1" applyBorder="1" applyAlignment="1">
      <alignment vertical="center"/>
    </xf>
    <xf numFmtId="38" fontId="120" fillId="4" borderId="72" xfId="0" applyNumberFormat="1" applyFont="1" applyFill="1" applyBorder="1" applyAlignment="1">
      <alignment vertical="center"/>
    </xf>
    <xf numFmtId="169" fontId="120" fillId="4" borderId="0" xfId="0" applyFont="1" applyFill="1" applyAlignment="1" applyProtection="1">
      <alignment vertical="center"/>
      <protection locked="0"/>
    </xf>
    <xf numFmtId="181" fontId="77" fillId="4" borderId="29" xfId="0" applyNumberFormat="1" applyFont="1" applyFill="1" applyBorder="1" applyAlignment="1">
      <alignment horizontal="left" vertical="center" indent="1"/>
    </xf>
    <xf numFmtId="38" fontId="77" fillId="4" borderId="38" xfId="47" applyNumberFormat="1" applyFont="1" applyFill="1" applyBorder="1" applyAlignment="1">
      <alignment horizontal="right" vertical="center"/>
    </xf>
    <xf numFmtId="38" fontId="120" fillId="4" borderId="38" xfId="47" applyNumberFormat="1" applyFont="1" applyFill="1" applyBorder="1" applyAlignment="1">
      <alignment horizontal="right" vertical="center"/>
    </xf>
    <xf numFmtId="38" fontId="120" fillId="4" borderId="23" xfId="47" applyNumberFormat="1" applyFont="1" applyFill="1" applyBorder="1" applyAlignment="1">
      <alignment horizontal="right" vertical="center"/>
    </xf>
    <xf numFmtId="38" fontId="120" fillId="4" borderId="0" xfId="0" applyNumberFormat="1" applyFont="1" applyFill="1" applyAlignment="1">
      <alignment vertical="center"/>
    </xf>
    <xf numFmtId="38" fontId="121" fillId="4" borderId="22" xfId="47" applyNumberFormat="1" applyFont="1" applyFill="1" applyBorder="1" applyAlignment="1">
      <alignment horizontal="right" vertical="center"/>
    </xf>
    <xf numFmtId="171" fontId="105" fillId="4" borderId="26" xfId="0" applyNumberFormat="1" applyFont="1" applyFill="1" applyBorder="1" applyAlignment="1">
      <alignment horizontal="right" vertical="center"/>
    </xf>
    <xf numFmtId="166" fontId="81" fillId="0" borderId="26" xfId="57" applyFont="1" applyFill="1" applyBorder="1" applyAlignment="1" applyProtection="1">
      <alignment horizontal="right" vertical="center"/>
    </xf>
    <xf numFmtId="9" fontId="104" fillId="0" borderId="29" xfId="47" applyFont="1" applyFill="1" applyBorder="1" applyAlignment="1" applyProtection="1">
      <alignment horizontal="left" vertical="center" indent="2"/>
    </xf>
    <xf numFmtId="9" fontId="105" fillId="0" borderId="26" xfId="47" applyFont="1" applyFill="1" applyBorder="1" applyAlignment="1" applyProtection="1">
      <alignment vertical="center"/>
    </xf>
    <xf numFmtId="9" fontId="105" fillId="0" borderId="27" xfId="47" applyFont="1" applyFill="1" applyBorder="1" applyAlignment="1" applyProtection="1">
      <alignment vertical="center"/>
    </xf>
    <xf numFmtId="9" fontId="105" fillId="0" borderId="0" xfId="47" applyFont="1" applyFill="1" applyBorder="1" applyAlignment="1" applyProtection="1">
      <alignment vertical="center"/>
      <protection locked="0"/>
    </xf>
    <xf numFmtId="40" fontId="91" fillId="0" borderId="20" xfId="0" applyNumberFormat="1" applyFont="1" applyBorder="1" applyAlignment="1">
      <alignment horizontal="left" vertical="center"/>
    </xf>
    <xf numFmtId="38" fontId="101" fillId="4" borderId="69" xfId="61" applyNumberFormat="1" applyFont="1" applyFill="1" applyBorder="1" applyAlignment="1">
      <alignment horizontal="right" vertical="center"/>
    </xf>
    <xf numFmtId="38" fontId="72" fillId="4" borderId="0" xfId="61" applyNumberFormat="1" applyFont="1" applyFill="1" applyAlignment="1">
      <alignment horizontal="right" vertical="center"/>
    </xf>
    <xf numFmtId="38" fontId="72" fillId="4" borderId="35" xfId="61" applyNumberFormat="1" applyFont="1" applyFill="1" applyBorder="1" applyAlignment="1">
      <alignment horizontal="right" vertical="center"/>
    </xf>
    <xf numFmtId="38" fontId="72" fillId="4" borderId="30" xfId="61" applyNumberFormat="1" applyFont="1" applyFill="1" applyBorder="1" applyAlignment="1">
      <alignment horizontal="right" vertical="center"/>
    </xf>
    <xf numFmtId="0" fontId="92" fillId="4" borderId="29" xfId="0" applyNumberFormat="1" applyFont="1" applyFill="1" applyBorder="1" applyAlignment="1">
      <alignment horizontal="left" vertical="center" indent="2"/>
    </xf>
    <xf numFmtId="195" fontId="92" fillId="4" borderId="26" xfId="0" applyNumberFormat="1" applyFont="1" applyFill="1" applyBorder="1" applyAlignment="1">
      <alignment horizontal="right" vertical="center"/>
    </xf>
    <xf numFmtId="195" fontId="92" fillId="4" borderId="27" xfId="0" applyNumberFormat="1" applyFont="1" applyFill="1" applyBorder="1" applyAlignment="1">
      <alignment horizontal="right" vertical="center"/>
    </xf>
    <xf numFmtId="169" fontId="92" fillId="4" borderId="0" xfId="0" applyFont="1" applyFill="1" applyAlignment="1" applyProtection="1">
      <alignment vertical="center"/>
      <protection locked="0"/>
    </xf>
    <xf numFmtId="195" fontId="116" fillId="4" borderId="22" xfId="0" applyNumberFormat="1" applyFont="1" applyFill="1" applyBorder="1" applyAlignment="1">
      <alignment horizontal="right" vertical="center"/>
    </xf>
    <xf numFmtId="38" fontId="101" fillId="4" borderId="72" xfId="0" applyNumberFormat="1" applyFont="1" applyFill="1" applyBorder="1" applyAlignment="1">
      <alignment horizontal="right" vertical="center"/>
    </xf>
    <xf numFmtId="38" fontId="104" fillId="4" borderId="69" xfId="0" applyNumberFormat="1" applyFont="1" applyFill="1" applyBorder="1" applyAlignment="1">
      <alignment horizontal="right" vertical="center"/>
    </xf>
    <xf numFmtId="38" fontId="104" fillId="4" borderId="69" xfId="0" applyNumberFormat="1" applyFont="1" applyFill="1" applyBorder="1" applyAlignment="1">
      <alignment vertical="center"/>
    </xf>
    <xf numFmtId="38" fontId="104" fillId="4" borderId="72" xfId="0" applyNumberFormat="1" applyFont="1" applyFill="1" applyBorder="1" applyAlignment="1">
      <alignment horizontal="right" vertical="center"/>
    </xf>
    <xf numFmtId="38" fontId="104" fillId="4" borderId="0" xfId="0" applyNumberFormat="1" applyFont="1" applyFill="1" applyAlignment="1">
      <alignment vertical="center"/>
    </xf>
    <xf numFmtId="40" fontId="91" fillId="4" borderId="69" xfId="47" applyNumberFormat="1" applyFont="1" applyFill="1" applyBorder="1" applyAlignment="1">
      <alignment vertical="center"/>
    </xf>
    <xf numFmtId="38" fontId="91" fillId="4" borderId="0" xfId="0" applyNumberFormat="1" applyFont="1" applyFill="1" applyAlignment="1">
      <alignment horizontal="right" vertical="center"/>
    </xf>
    <xf numFmtId="179" fontId="84" fillId="0" borderId="26" xfId="0" applyNumberFormat="1" applyFont="1" applyBorder="1" applyAlignment="1">
      <alignment horizontal="right" vertical="center"/>
    </xf>
    <xf numFmtId="9" fontId="84" fillId="0" borderId="26" xfId="0" applyNumberFormat="1" applyFont="1" applyBorder="1" applyAlignment="1">
      <alignment horizontal="right" vertical="center"/>
    </xf>
    <xf numFmtId="9" fontId="84" fillId="0" borderId="26" xfId="0" applyNumberFormat="1" applyFont="1" applyBorder="1" applyAlignment="1">
      <alignment vertical="center"/>
    </xf>
    <xf numFmtId="179" fontId="84" fillId="0" borderId="26" xfId="0" applyNumberFormat="1" applyFont="1" applyBorder="1" applyAlignment="1">
      <alignment vertical="center"/>
    </xf>
    <xf numFmtId="40" fontId="79" fillId="0" borderId="42" xfId="0" applyNumberFormat="1" applyFont="1" applyBorder="1" applyAlignment="1">
      <alignment horizontal="left" vertical="center"/>
    </xf>
    <xf numFmtId="179" fontId="76" fillId="0" borderId="63" xfId="0" applyNumberFormat="1" applyFont="1" applyBorder="1" applyAlignment="1" applyProtection="1">
      <alignment horizontal="left" vertical="center" indent="2"/>
      <protection locked="0"/>
    </xf>
    <xf numFmtId="195" fontId="76" fillId="0" borderId="22" xfId="0" applyNumberFormat="1" applyFont="1" applyBorder="1" applyAlignment="1">
      <alignment horizontal="right" vertical="center"/>
    </xf>
    <xf numFmtId="195" fontId="76" fillId="0" borderId="31" xfId="0" applyNumberFormat="1" applyFont="1" applyBorder="1" applyAlignment="1">
      <alignment horizontal="right" vertical="center"/>
    </xf>
    <xf numFmtId="38" fontId="79" fillId="0" borderId="43" xfId="0" applyNumberFormat="1" applyFont="1" applyBorder="1" applyAlignment="1">
      <alignment horizontal="left" vertical="center"/>
    </xf>
    <xf numFmtId="10" fontId="66" fillId="52" borderId="26" xfId="47" applyNumberFormat="1" applyFont="1" applyFill="1" applyBorder="1" applyAlignment="1" applyProtection="1">
      <alignment vertical="center"/>
      <protection locked="0"/>
    </xf>
    <xf numFmtId="10" fontId="66" fillId="52" borderId="26" xfId="47" applyNumberFormat="1" applyFont="1" applyFill="1" applyBorder="1" applyAlignment="1">
      <alignment horizontal="right" vertical="center"/>
    </xf>
    <xf numFmtId="10" fontId="66" fillId="52" borderId="26" xfId="47" applyNumberFormat="1" applyFont="1" applyFill="1" applyBorder="1" applyAlignment="1">
      <alignment vertical="center"/>
    </xf>
    <xf numFmtId="10" fontId="66" fillId="52" borderId="26" xfId="47" applyNumberFormat="1" applyFont="1" applyFill="1" applyBorder="1" applyAlignment="1" applyProtection="1">
      <alignment horizontal="left" vertical="center" indent="1"/>
      <protection locked="0"/>
    </xf>
    <xf numFmtId="40" fontId="84" fillId="0" borderId="20" xfId="0" applyNumberFormat="1" applyFont="1" applyBorder="1" applyAlignment="1">
      <alignment horizontal="left" vertical="center"/>
    </xf>
    <xf numFmtId="10" fontId="101" fillId="0" borderId="22" xfId="0" applyNumberFormat="1" applyFont="1" applyBorder="1" applyAlignment="1">
      <alignment horizontal="right" vertical="center"/>
    </xf>
    <xf numFmtId="171" fontId="101" fillId="0" borderId="22" xfId="0" applyNumberFormat="1" applyFont="1" applyBorder="1" applyAlignment="1">
      <alignment horizontal="right" vertical="center"/>
    </xf>
    <xf numFmtId="171" fontId="101" fillId="0" borderId="22" xfId="0" applyNumberFormat="1" applyFont="1" applyBorder="1" applyAlignment="1">
      <alignment vertical="center"/>
    </xf>
    <xf numFmtId="10" fontId="101" fillId="0" borderId="22" xfId="0" applyNumberFormat="1" applyFont="1" applyBorder="1" applyAlignment="1">
      <alignment vertical="center"/>
    </xf>
    <xf numFmtId="10" fontId="101" fillId="0" borderId="28" xfId="0" applyNumberFormat="1" applyFont="1" applyBorder="1" applyAlignment="1">
      <alignment horizontal="left" vertical="center"/>
    </xf>
    <xf numFmtId="10" fontId="101" fillId="0" borderId="0" xfId="0" applyNumberFormat="1" applyFont="1" applyAlignment="1" applyProtection="1">
      <alignment vertical="center"/>
      <protection locked="0"/>
    </xf>
    <xf numFmtId="10" fontId="76" fillId="0" borderId="69" xfId="0" applyNumberFormat="1" applyFont="1" applyBorder="1" applyAlignment="1">
      <alignment horizontal="right" vertical="center"/>
    </xf>
    <xf numFmtId="171" fontId="76" fillId="0" borderId="69" xfId="0" applyNumberFormat="1" applyFont="1" applyBorder="1" applyAlignment="1">
      <alignment horizontal="right" vertical="center"/>
    </xf>
    <xf numFmtId="171" fontId="76" fillId="0" borderId="26" xfId="0" applyNumberFormat="1" applyFont="1" applyBorder="1" applyAlignment="1">
      <alignment horizontal="right" vertical="center"/>
    </xf>
    <xf numFmtId="171" fontId="76" fillId="0" borderId="26" xfId="0" applyNumberFormat="1" applyFont="1" applyBorder="1" applyAlignment="1">
      <alignment vertical="center"/>
    </xf>
    <xf numFmtId="10" fontId="76" fillId="0" borderId="28" xfId="0" applyNumberFormat="1" applyFont="1" applyBorder="1" applyAlignment="1">
      <alignment horizontal="left" vertical="center"/>
    </xf>
    <xf numFmtId="38" fontId="76" fillId="0" borderId="28" xfId="0" applyNumberFormat="1" applyFont="1" applyBorder="1" applyAlignment="1">
      <alignment horizontal="left" vertical="center"/>
    </xf>
    <xf numFmtId="38" fontId="84" fillId="0" borderId="0" xfId="0" applyNumberFormat="1" applyFont="1" applyAlignment="1">
      <alignment horizontal="right" vertical="center"/>
    </xf>
    <xf numFmtId="38" fontId="84" fillId="0" borderId="26" xfId="0" applyNumberFormat="1" applyFont="1" applyBorder="1" applyAlignment="1">
      <alignment horizontal="right" vertical="center"/>
    </xf>
    <xf numFmtId="171" fontId="101" fillId="0" borderId="26" xfId="0" applyNumberFormat="1" applyFont="1" applyBorder="1" applyAlignment="1">
      <alignment horizontal="right" vertical="center"/>
    </xf>
    <xf numFmtId="171" fontId="101" fillId="0" borderId="26" xfId="0" applyNumberFormat="1" applyFont="1" applyBorder="1" applyAlignment="1">
      <alignment vertical="center"/>
    </xf>
    <xf numFmtId="10" fontId="101" fillId="0" borderId="26" xfId="0" applyNumberFormat="1" applyFont="1" applyBorder="1" applyAlignment="1">
      <alignment vertical="center"/>
    </xf>
    <xf numFmtId="10" fontId="84" fillId="0" borderId="69" xfId="0" applyNumberFormat="1" applyFont="1" applyBorder="1" applyAlignment="1" applyProtection="1">
      <alignment vertical="center"/>
      <protection locked="0"/>
    </xf>
    <xf numFmtId="171" fontId="84" fillId="0" borderId="0" xfId="0" applyNumberFormat="1" applyFont="1" applyAlignment="1" applyProtection="1">
      <alignment vertical="center"/>
      <protection locked="0"/>
    </xf>
    <xf numFmtId="10" fontId="84" fillId="0" borderId="26" xfId="0" applyNumberFormat="1" applyFont="1" applyBorder="1" applyAlignment="1">
      <alignment vertical="center"/>
    </xf>
    <xf numFmtId="10" fontId="84" fillId="0" borderId="28" xfId="0" applyNumberFormat="1" applyFont="1" applyBorder="1" applyAlignment="1">
      <alignment horizontal="left" vertical="center"/>
    </xf>
    <xf numFmtId="10" fontId="84" fillId="0" borderId="0" xfId="0" applyNumberFormat="1" applyFont="1" applyAlignment="1" applyProtection="1">
      <alignment vertical="center"/>
      <protection locked="0"/>
    </xf>
    <xf numFmtId="10" fontId="101" fillId="0" borderId="69" xfId="0" applyNumberFormat="1" applyFont="1" applyBorder="1" applyAlignment="1" applyProtection="1">
      <alignment vertical="center"/>
      <protection locked="0"/>
    </xf>
    <xf numFmtId="171" fontId="101" fillId="0" borderId="69" xfId="0" applyNumberFormat="1" applyFont="1" applyBorder="1" applyAlignment="1" applyProtection="1">
      <alignment vertical="center"/>
      <protection locked="0"/>
    </xf>
    <xf numFmtId="171" fontId="84" fillId="0" borderId="69" xfId="0" applyNumberFormat="1" applyFont="1" applyBorder="1" applyAlignment="1" applyProtection="1">
      <alignment vertical="center"/>
      <protection locked="0"/>
    </xf>
    <xf numFmtId="169" fontId="84" fillId="0" borderId="26" xfId="0" applyFont="1" applyBorder="1" applyAlignment="1" applyProtection="1">
      <alignment vertical="center"/>
      <protection locked="0"/>
    </xf>
    <xf numFmtId="38" fontId="79" fillId="0" borderId="0" xfId="0" applyNumberFormat="1" applyFont="1" applyAlignment="1" applyProtection="1">
      <alignment vertical="center"/>
      <protection locked="0"/>
    </xf>
    <xf numFmtId="171" fontId="79" fillId="0" borderId="61" xfId="0" applyNumberFormat="1" applyFont="1" applyBorder="1" applyAlignment="1" applyProtection="1">
      <alignment vertical="center"/>
      <protection locked="0"/>
    </xf>
    <xf numFmtId="171" fontId="79" fillId="0" borderId="69" xfId="0" applyNumberFormat="1" applyFont="1" applyBorder="1" applyAlignment="1">
      <alignment horizontal="right" vertical="center"/>
    </xf>
    <xf numFmtId="171" fontId="79" fillId="0" borderId="26" xfId="0" applyNumberFormat="1" applyFont="1" applyBorder="1" applyAlignment="1">
      <alignment horizontal="right" vertical="center"/>
    </xf>
    <xf numFmtId="171" fontId="79" fillId="0" borderId="26" xfId="0" applyNumberFormat="1" applyFont="1" applyBorder="1" applyAlignment="1">
      <alignment vertical="center"/>
    </xf>
    <xf numFmtId="10" fontId="79" fillId="0" borderId="26" xfId="0" applyNumberFormat="1" applyFont="1" applyBorder="1" applyAlignment="1">
      <alignment vertical="center"/>
    </xf>
    <xf numFmtId="10" fontId="79" fillId="0" borderId="28" xfId="0" applyNumberFormat="1" applyFont="1" applyBorder="1" applyAlignment="1">
      <alignment horizontal="left" vertical="center"/>
    </xf>
    <xf numFmtId="10" fontId="79" fillId="0" borderId="0" xfId="0" applyNumberFormat="1" applyFont="1" applyAlignment="1" applyProtection="1">
      <alignment vertical="center"/>
      <protection locked="0"/>
    </xf>
    <xf numFmtId="38" fontId="79" fillId="37" borderId="26" xfId="0" applyNumberFormat="1" applyFont="1" applyFill="1" applyBorder="1" applyAlignment="1">
      <alignment horizontal="right" vertical="center"/>
    </xf>
    <xf numFmtId="38" fontId="79" fillId="0" borderId="26" xfId="0" applyNumberFormat="1" applyFont="1" applyBorder="1" applyAlignment="1">
      <alignment horizontal="right" vertical="center"/>
    </xf>
    <xf numFmtId="38" fontId="76" fillId="0" borderId="74" xfId="0" applyNumberFormat="1" applyFont="1" applyBorder="1" applyAlignment="1">
      <alignment horizontal="left" vertical="center" indent="2"/>
    </xf>
    <xf numFmtId="38" fontId="79" fillId="0" borderId="59" xfId="0" applyNumberFormat="1" applyFont="1" applyBorder="1" applyAlignment="1">
      <alignment horizontal="right" vertical="center"/>
    </xf>
    <xf numFmtId="38" fontId="79" fillId="0" borderId="80" xfId="0" applyNumberFormat="1" applyFont="1" applyBorder="1" applyAlignment="1">
      <alignment horizontal="right" vertical="center"/>
    </xf>
    <xf numFmtId="39" fontId="81" fillId="4" borderId="29" xfId="61" applyNumberFormat="1" applyFont="1" applyFill="1" applyBorder="1" applyAlignment="1">
      <alignment horizontal="left" vertical="center" indent="3"/>
    </xf>
    <xf numFmtId="38" fontId="123" fillId="4" borderId="69" xfId="0" applyNumberFormat="1" applyFont="1" applyFill="1" applyBorder="1" applyAlignment="1">
      <alignment horizontal="right" vertical="center"/>
    </xf>
    <xf numFmtId="38" fontId="103" fillId="4" borderId="69" xfId="0" applyNumberFormat="1" applyFont="1" applyFill="1" applyBorder="1" applyAlignment="1">
      <alignment horizontal="right" vertical="center"/>
    </xf>
    <xf numFmtId="169" fontId="76" fillId="4" borderId="0" xfId="0" applyFont="1" applyFill="1" applyAlignment="1" applyProtection="1">
      <alignment vertical="center"/>
      <protection locked="0"/>
    </xf>
    <xf numFmtId="37" fontId="81" fillId="4" borderId="29" xfId="61" applyNumberFormat="1" applyFont="1" applyFill="1" applyBorder="1" applyAlignment="1">
      <alignment horizontal="left" vertical="center" indent="3"/>
    </xf>
    <xf numFmtId="38" fontId="119" fillId="4" borderId="69" xfId="0" applyNumberFormat="1" applyFont="1" applyFill="1" applyBorder="1" applyAlignment="1">
      <alignment horizontal="right" vertical="center"/>
    </xf>
    <xf numFmtId="180" fontId="81" fillId="4" borderId="29" xfId="61" applyNumberFormat="1" applyFont="1" applyFill="1" applyBorder="1" applyAlignment="1">
      <alignment horizontal="left" vertical="center" indent="3"/>
    </xf>
    <xf numFmtId="38" fontId="79" fillId="4" borderId="70" xfId="0" applyNumberFormat="1" applyFont="1" applyFill="1" applyBorder="1" applyAlignment="1">
      <alignment horizontal="right" vertical="center"/>
    </xf>
    <xf numFmtId="38" fontId="77" fillId="4" borderId="70" xfId="0" applyNumberFormat="1" applyFont="1" applyFill="1" applyBorder="1" applyAlignment="1">
      <alignment vertical="center"/>
    </xf>
    <xf numFmtId="38" fontId="124" fillId="4" borderId="81" xfId="0" applyNumberFormat="1" applyFont="1" applyFill="1" applyBorder="1" applyAlignment="1">
      <alignment horizontal="right" vertical="center"/>
    </xf>
    <xf numFmtId="38" fontId="77" fillId="4" borderId="23" xfId="47" applyNumberFormat="1" applyFont="1" applyFill="1" applyBorder="1" applyAlignment="1">
      <alignment horizontal="right" vertical="center"/>
    </xf>
    <xf numFmtId="38" fontId="101" fillId="4" borderId="22" xfId="47" applyNumberFormat="1" applyFont="1" applyFill="1" applyBorder="1" applyAlignment="1">
      <alignment horizontal="right" vertical="center"/>
    </xf>
    <xf numFmtId="171" fontId="93" fillId="4" borderId="26" xfId="0" applyNumberFormat="1" applyFont="1" applyFill="1" applyBorder="1" applyAlignment="1">
      <alignment horizontal="right" vertical="center"/>
    </xf>
    <xf numFmtId="171" fontId="93" fillId="4" borderId="26" xfId="0" applyNumberFormat="1" applyFont="1" applyFill="1" applyBorder="1" applyAlignment="1">
      <alignment vertical="center"/>
    </xf>
    <xf numFmtId="166" fontId="76" fillId="4" borderId="69" xfId="57" applyFont="1" applyFill="1" applyBorder="1" applyAlignment="1">
      <alignment horizontal="right" vertical="center"/>
    </xf>
    <xf numFmtId="40" fontId="102" fillId="0" borderId="20" xfId="0" applyNumberFormat="1" applyFont="1" applyBorder="1" applyAlignment="1">
      <alignment horizontal="left" vertical="center"/>
    </xf>
    <xf numFmtId="181" fontId="120" fillId="0" borderId="29" xfId="0" applyNumberFormat="1" applyFont="1" applyBorder="1" applyAlignment="1">
      <alignment horizontal="left" vertical="center" indent="1"/>
    </xf>
    <xf numFmtId="38" fontId="120" fillId="0" borderId="69" xfId="0" applyNumberFormat="1" applyFont="1" applyBorder="1" applyAlignment="1">
      <alignment horizontal="right" vertical="center"/>
    </xf>
    <xf numFmtId="38" fontId="102" fillId="0" borderId="28" xfId="0" applyNumberFormat="1" applyFont="1" applyBorder="1" applyAlignment="1">
      <alignment horizontal="left" vertical="center"/>
    </xf>
    <xf numFmtId="169" fontId="120" fillId="0" borderId="0" xfId="0" applyFont="1" applyAlignment="1" applyProtection="1">
      <alignment vertical="center"/>
      <protection locked="0"/>
    </xf>
    <xf numFmtId="171" fontId="103" fillId="0" borderId="29" xfId="61" applyNumberFormat="1" applyFont="1" applyBorder="1" applyAlignment="1">
      <alignment horizontal="left" vertical="center" indent="3"/>
    </xf>
    <xf numFmtId="171" fontId="103" fillId="0" borderId="26" xfId="47" applyNumberFormat="1" applyFont="1" applyFill="1" applyBorder="1" applyAlignment="1" applyProtection="1">
      <alignment horizontal="right" vertical="center"/>
    </xf>
    <xf numFmtId="171" fontId="103" fillId="0" borderId="0" xfId="47" applyNumberFormat="1" applyFont="1" applyFill="1" applyBorder="1" applyAlignment="1" applyProtection="1">
      <alignment horizontal="right" vertical="center"/>
      <protection locked="0"/>
    </xf>
    <xf numFmtId="4" fontId="81" fillId="0" borderId="26" xfId="47" applyNumberFormat="1" applyFont="1" applyFill="1" applyBorder="1" applyAlignment="1" applyProtection="1">
      <alignment horizontal="right" vertical="center"/>
    </xf>
    <xf numFmtId="10" fontId="81" fillId="0" borderId="26" xfId="47" applyNumberFormat="1" applyFont="1" applyFill="1" applyBorder="1" applyAlignment="1" applyProtection="1">
      <alignment horizontal="right" vertical="center"/>
    </xf>
    <xf numFmtId="10" fontId="106" fillId="0" borderId="26" xfId="47" applyNumberFormat="1" applyFont="1" applyFill="1" applyBorder="1" applyAlignment="1" applyProtection="1">
      <alignment horizontal="right" vertical="center"/>
    </xf>
    <xf numFmtId="0" fontId="93" fillId="0" borderId="29" xfId="0" applyNumberFormat="1" applyFont="1" applyBorder="1" applyAlignment="1">
      <alignment horizontal="left" vertical="center" indent="2"/>
    </xf>
    <xf numFmtId="195" fontId="93" fillId="0" borderId="26" xfId="0" applyNumberFormat="1" applyFont="1" applyBorder="1" applyAlignment="1">
      <alignment horizontal="right" vertical="center"/>
    </xf>
    <xf numFmtId="9" fontId="93" fillId="0" borderId="26" xfId="47" applyFont="1" applyFill="1" applyBorder="1" applyAlignment="1" applyProtection="1">
      <alignment horizontal="right" vertical="center"/>
    </xf>
    <xf numFmtId="9" fontId="93" fillId="0" borderId="26" xfId="0" applyNumberFormat="1" applyFont="1" applyBorder="1" applyAlignment="1">
      <alignment horizontal="right" vertical="center"/>
    </xf>
    <xf numFmtId="9" fontId="93" fillId="0" borderId="26" xfId="0" applyNumberFormat="1" applyFont="1" applyBorder="1" applyAlignment="1">
      <alignment vertical="center"/>
    </xf>
    <xf numFmtId="169" fontId="93" fillId="0" borderId="0" xfId="0" applyFont="1" applyAlignment="1" applyProtection="1">
      <alignment vertical="center"/>
      <protection locked="0"/>
    </xf>
    <xf numFmtId="0" fontId="92" fillId="0" borderId="29" xfId="0" applyNumberFormat="1" applyFont="1" applyBorder="1" applyAlignment="1">
      <alignment horizontal="left" vertical="center" indent="2"/>
    </xf>
    <xf numFmtId="195" fontId="92" fillId="0" borderId="26" xfId="0" applyNumberFormat="1" applyFont="1" applyBorder="1" applyAlignment="1">
      <alignment horizontal="right" vertical="center"/>
    </xf>
    <xf numFmtId="9" fontId="92" fillId="0" borderId="26" xfId="47" applyFont="1" applyFill="1" applyBorder="1" applyAlignment="1" applyProtection="1">
      <alignment horizontal="right" vertical="center"/>
    </xf>
    <xf numFmtId="9" fontId="92" fillId="0" borderId="26" xfId="0" applyNumberFormat="1" applyFont="1" applyBorder="1" applyAlignment="1">
      <alignment horizontal="right" vertical="center"/>
    </xf>
    <xf numFmtId="9" fontId="92" fillId="0" borderId="26" xfId="0" applyNumberFormat="1" applyFont="1" applyBorder="1" applyAlignment="1">
      <alignment vertical="center"/>
    </xf>
    <xf numFmtId="169" fontId="92" fillId="0" borderId="0" xfId="0" applyFont="1" applyAlignment="1" applyProtection="1">
      <alignment vertical="center"/>
      <protection locked="0"/>
    </xf>
    <xf numFmtId="195" fontId="93" fillId="0" borderId="26" xfId="0" applyNumberFormat="1" applyFont="1" applyBorder="1" applyAlignment="1">
      <alignment vertical="center"/>
    </xf>
    <xf numFmtId="184" fontId="93" fillId="0" borderId="26" xfId="0" applyNumberFormat="1" applyFont="1" applyBorder="1" applyAlignment="1">
      <alignment vertical="center"/>
    </xf>
    <xf numFmtId="38" fontId="81" fillId="4" borderId="69" xfId="61" applyNumberFormat="1" applyFont="1" applyFill="1" applyBorder="1" applyAlignment="1">
      <alignment horizontal="right" vertical="center"/>
    </xf>
    <xf numFmtId="38" fontId="81" fillId="4" borderId="0" xfId="0" applyNumberFormat="1" applyFont="1" applyFill="1" applyAlignment="1">
      <alignment vertical="center"/>
    </xf>
    <xf numFmtId="37" fontId="81" fillId="4" borderId="68" xfId="61" applyNumberFormat="1" applyFont="1" applyFill="1" applyBorder="1" applyAlignment="1">
      <alignment horizontal="left" vertical="center" indent="3"/>
    </xf>
    <xf numFmtId="40" fontId="72" fillId="4" borderId="20" xfId="0" applyNumberFormat="1" applyFont="1" applyFill="1" applyBorder="1" applyAlignment="1">
      <alignment horizontal="left" vertical="center"/>
    </xf>
    <xf numFmtId="38" fontId="73" fillId="4" borderId="69" xfId="61" applyNumberFormat="1" applyFont="1" applyFill="1" applyBorder="1" applyAlignment="1">
      <alignment horizontal="right" vertical="center"/>
    </xf>
    <xf numFmtId="38" fontId="73" fillId="4" borderId="0" xfId="0" applyNumberFormat="1" applyFont="1" applyFill="1" applyAlignment="1">
      <alignment vertical="center"/>
    </xf>
    <xf numFmtId="38" fontId="72" fillId="4" borderId="81" xfId="0" applyNumberFormat="1" applyFont="1" applyFill="1" applyBorder="1" applyAlignment="1">
      <alignment horizontal="right" vertical="center"/>
    </xf>
    <xf numFmtId="38" fontId="76" fillId="4" borderId="70" xfId="61" applyNumberFormat="1" applyFont="1" applyFill="1" applyBorder="1" applyAlignment="1">
      <alignment horizontal="right" vertical="center"/>
    </xf>
    <xf numFmtId="38" fontId="79" fillId="4" borderId="26" xfId="0" applyNumberFormat="1" applyFont="1" applyFill="1" applyBorder="1" applyAlignment="1">
      <alignment horizontal="right" vertical="center"/>
    </xf>
    <xf numFmtId="38" fontId="79" fillId="4" borderId="65" xfId="0" applyNumberFormat="1" applyFont="1" applyFill="1" applyBorder="1" applyAlignment="1">
      <alignment horizontal="right" vertical="center"/>
    </xf>
    <xf numFmtId="9" fontId="92" fillId="4" borderId="29" xfId="47" applyFont="1" applyFill="1" applyBorder="1" applyAlignment="1" applyProtection="1">
      <alignment horizontal="left" vertical="center" indent="2"/>
    </xf>
    <xf numFmtId="9" fontId="103" fillId="4" borderId="69" xfId="47" applyFont="1" applyFill="1" applyBorder="1" applyAlignment="1">
      <alignment horizontal="right" vertical="center"/>
    </xf>
    <xf numFmtId="9" fontId="103" fillId="4" borderId="0" xfId="47" applyFont="1" applyFill="1" applyBorder="1" applyAlignment="1">
      <alignment vertical="center"/>
    </xf>
    <xf numFmtId="9" fontId="116" fillId="4" borderId="29" xfId="47" applyFont="1" applyFill="1" applyBorder="1" applyAlignment="1" applyProtection="1">
      <alignment horizontal="left" vertical="center" indent="2"/>
    </xf>
    <xf numFmtId="9" fontId="76" fillId="4" borderId="69" xfId="47" applyFont="1" applyFill="1" applyBorder="1" applyAlignment="1">
      <alignment horizontal="right" vertical="center"/>
    </xf>
    <xf numFmtId="9" fontId="76" fillId="4" borderId="0" xfId="47" applyFont="1" applyFill="1" applyBorder="1" applyAlignment="1">
      <alignment vertical="center"/>
    </xf>
    <xf numFmtId="9" fontId="79" fillId="4" borderId="20" xfId="47" applyFont="1" applyFill="1" applyBorder="1" applyAlignment="1">
      <alignment horizontal="left" vertical="center"/>
    </xf>
    <xf numFmtId="9" fontId="79" fillId="4" borderId="28" xfId="47" applyFont="1" applyFill="1" applyBorder="1" applyAlignment="1">
      <alignment horizontal="left" vertical="center"/>
    </xf>
    <xf numFmtId="10" fontId="76" fillId="4" borderId="69" xfId="47" applyNumberFormat="1" applyFont="1" applyFill="1" applyBorder="1" applyAlignment="1">
      <alignment horizontal="right" vertical="center"/>
    </xf>
    <xf numFmtId="9" fontId="84" fillId="0" borderId="35" xfId="47" applyFont="1" applyFill="1" applyBorder="1" applyAlignment="1">
      <alignment horizontal="right" vertical="center"/>
    </xf>
    <xf numFmtId="3" fontId="84" fillId="0" borderId="35" xfId="61" applyNumberFormat="1" applyFont="1" applyBorder="1" applyAlignment="1">
      <alignment horizontal="right" vertical="center"/>
    </xf>
    <xf numFmtId="171" fontId="103" fillId="4" borderId="29" xfId="61" applyNumberFormat="1" applyFont="1" applyFill="1" applyBorder="1" applyAlignment="1">
      <alignment horizontal="left" vertical="center" indent="3"/>
    </xf>
    <xf numFmtId="3" fontId="102" fillId="4" borderId="26" xfId="61" applyNumberFormat="1" applyFont="1" applyFill="1" applyBorder="1" applyAlignment="1">
      <alignment horizontal="right" vertical="center"/>
    </xf>
    <xf numFmtId="171" fontId="103" fillId="4" borderId="26" xfId="47" applyNumberFormat="1" applyFont="1" applyFill="1" applyBorder="1" applyAlignment="1" applyProtection="1">
      <alignment horizontal="right" vertical="center"/>
    </xf>
    <xf numFmtId="171" fontId="102" fillId="4" borderId="26" xfId="61" applyNumberFormat="1" applyFont="1" applyFill="1" applyBorder="1" applyAlignment="1">
      <alignment horizontal="right" vertical="center"/>
    </xf>
    <xf numFmtId="3" fontId="84" fillId="4" borderId="26" xfId="61" applyNumberFormat="1" applyFont="1" applyFill="1" applyBorder="1" applyAlignment="1">
      <alignment horizontal="right" vertical="center"/>
    </xf>
    <xf numFmtId="10" fontId="84" fillId="4" borderId="26" xfId="47" applyNumberFormat="1" applyFont="1" applyFill="1" applyBorder="1" applyAlignment="1">
      <alignment horizontal="right" vertical="center"/>
    </xf>
    <xf numFmtId="10" fontId="84" fillId="4" borderId="26" xfId="61" applyNumberFormat="1" applyFont="1" applyFill="1" applyBorder="1" applyAlignment="1">
      <alignment horizontal="right" vertical="center"/>
    </xf>
    <xf numFmtId="171" fontId="84" fillId="4" borderId="26" xfId="47" applyNumberFormat="1" applyFont="1" applyFill="1" applyBorder="1" applyAlignment="1">
      <alignment horizontal="right" vertical="center"/>
    </xf>
    <xf numFmtId="171" fontId="84" fillId="4" borderId="26" xfId="61" applyNumberFormat="1" applyFont="1" applyFill="1" applyBorder="1" applyAlignment="1">
      <alignment horizontal="right" vertical="center"/>
    </xf>
    <xf numFmtId="198" fontId="79" fillId="4" borderId="20" xfId="0" applyNumberFormat="1" applyFont="1" applyFill="1" applyBorder="1" applyAlignment="1">
      <alignment horizontal="left" vertical="center"/>
    </xf>
    <xf numFmtId="198" fontId="104" fillId="4" borderId="71" xfId="0" applyNumberFormat="1" applyFont="1" applyFill="1" applyBorder="1" applyAlignment="1" applyProtection="1">
      <alignment horizontal="left" vertical="center" indent="2"/>
      <protection locked="0"/>
    </xf>
    <xf numFmtId="198" fontId="84" fillId="4" borderId="26" xfId="61" applyNumberFormat="1" applyFont="1" applyFill="1" applyBorder="1" applyAlignment="1">
      <alignment horizontal="right" vertical="center"/>
    </xf>
    <xf numFmtId="198" fontId="84" fillId="4" borderId="26" xfId="47" applyNumberFormat="1" applyFont="1" applyFill="1" applyBorder="1" applyAlignment="1">
      <alignment horizontal="right" vertical="center"/>
    </xf>
    <xf numFmtId="198" fontId="84" fillId="4" borderId="28" xfId="0" applyNumberFormat="1" applyFont="1" applyFill="1" applyBorder="1" applyAlignment="1">
      <alignment horizontal="left" vertical="center"/>
    </xf>
    <xf numFmtId="198" fontId="84" fillId="4" borderId="0" xfId="0" applyNumberFormat="1" applyFont="1" applyFill="1" applyAlignment="1" applyProtection="1">
      <alignment vertical="center"/>
      <protection locked="0"/>
    </xf>
    <xf numFmtId="197" fontId="79" fillId="4" borderId="20" xfId="0" applyNumberFormat="1" applyFont="1" applyFill="1" applyBorder="1" applyAlignment="1">
      <alignment horizontal="left" vertical="center"/>
    </xf>
    <xf numFmtId="197" fontId="104" fillId="4" borderId="79" xfId="0" applyNumberFormat="1" applyFont="1" applyFill="1" applyBorder="1" applyAlignment="1" applyProtection="1">
      <alignment horizontal="left" vertical="center" indent="2"/>
      <protection locked="0"/>
    </xf>
    <xf numFmtId="197" fontId="84" fillId="4" borderId="35" xfId="61" applyNumberFormat="1" applyFont="1" applyFill="1" applyBorder="1" applyAlignment="1">
      <alignment horizontal="right" vertical="center"/>
    </xf>
    <xf numFmtId="197" fontId="84" fillId="4" borderId="35" xfId="47" applyNumberFormat="1" applyFont="1" applyFill="1" applyBorder="1" applyAlignment="1">
      <alignment horizontal="right" vertical="center"/>
    </xf>
    <xf numFmtId="197" fontId="84" fillId="4" borderId="28" xfId="0" applyNumberFormat="1" applyFont="1" applyFill="1" applyBorder="1" applyAlignment="1">
      <alignment horizontal="left" vertical="center"/>
    </xf>
    <xf numFmtId="197" fontId="84" fillId="4" borderId="0" xfId="0" applyNumberFormat="1" applyFont="1" applyFill="1" applyAlignment="1" applyProtection="1">
      <alignment vertical="center"/>
      <protection locked="0"/>
    </xf>
    <xf numFmtId="3" fontId="84" fillId="4" borderId="69" xfId="61" applyNumberFormat="1" applyFont="1" applyFill="1" applyBorder="1" applyAlignment="1">
      <alignment horizontal="right" vertical="center"/>
    </xf>
    <xf numFmtId="9" fontId="84" fillId="4" borderId="69" xfId="47" applyFont="1" applyFill="1" applyBorder="1" applyAlignment="1">
      <alignment horizontal="right" vertical="center"/>
    </xf>
    <xf numFmtId="3" fontId="84" fillId="4" borderId="72" xfId="61" applyNumberFormat="1" applyFont="1" applyFill="1" applyBorder="1" applyAlignment="1">
      <alignment horizontal="right" vertical="center"/>
    </xf>
    <xf numFmtId="40" fontId="101" fillId="0" borderId="20" xfId="0" applyNumberFormat="1" applyFont="1" applyBorder="1" applyAlignment="1">
      <alignment horizontal="left" vertical="center"/>
    </xf>
    <xf numFmtId="181" fontId="101" fillId="0" borderId="71" xfId="0" applyNumberFormat="1" applyFont="1" applyBorder="1" applyAlignment="1">
      <alignment horizontal="left" vertical="center" indent="1"/>
    </xf>
    <xf numFmtId="38" fontId="101" fillId="0" borderId="72" xfId="47" applyNumberFormat="1" applyFont="1" applyFill="1" applyBorder="1" applyAlignment="1">
      <alignment horizontal="right" vertical="center"/>
    </xf>
    <xf numFmtId="38" fontId="101" fillId="0" borderId="28" xfId="0" applyNumberFormat="1" applyFont="1" applyBorder="1" applyAlignment="1">
      <alignment horizontal="left" vertical="center"/>
    </xf>
    <xf numFmtId="38" fontId="76" fillId="0" borderId="71" xfId="61" applyNumberFormat="1" applyFont="1" applyBorder="1" applyAlignment="1">
      <alignment horizontal="left" vertical="center" indent="3"/>
    </xf>
    <xf numFmtId="38" fontId="81" fillId="0" borderId="69" xfId="61" applyNumberFormat="1" applyFont="1" applyBorder="1" applyAlignment="1">
      <alignment horizontal="right" vertical="center"/>
    </xf>
    <xf numFmtId="38" fontId="76" fillId="0" borderId="69" xfId="61" applyNumberFormat="1" applyFont="1" applyBorder="1" applyAlignment="1">
      <alignment horizontal="right" vertical="center"/>
    </xf>
    <xf numFmtId="38" fontId="81" fillId="0" borderId="28" xfId="0" applyNumberFormat="1" applyFont="1" applyBorder="1" applyAlignment="1">
      <alignment horizontal="left" vertical="center"/>
    </xf>
    <xf numFmtId="40" fontId="72" fillId="0" borderId="20" xfId="0" applyNumberFormat="1" applyFont="1" applyBorder="1" applyAlignment="1">
      <alignment horizontal="left" vertical="center"/>
    </xf>
    <xf numFmtId="0" fontId="126" fillId="0" borderId="74" xfId="0" applyNumberFormat="1" applyFont="1" applyBorder="1" applyAlignment="1">
      <alignment horizontal="left" vertical="center" indent="2"/>
    </xf>
    <xf numFmtId="183" fontId="127" fillId="0" borderId="26" xfId="0" applyNumberFormat="1" applyFont="1" applyBorder="1" applyAlignment="1">
      <alignment horizontal="right" vertical="center"/>
    </xf>
    <xf numFmtId="171" fontId="126" fillId="0" borderId="26" xfId="0" applyNumberFormat="1" applyFont="1" applyBorder="1" applyAlignment="1">
      <alignment horizontal="right" vertical="center"/>
    </xf>
    <xf numFmtId="38" fontId="126" fillId="0" borderId="28" xfId="0" applyNumberFormat="1" applyFont="1" applyBorder="1" applyAlignment="1">
      <alignment horizontal="left" vertical="center"/>
    </xf>
    <xf numFmtId="169" fontId="126" fillId="0" borderId="0" xfId="0" applyFont="1" applyAlignment="1" applyProtection="1">
      <alignment vertical="center"/>
      <protection locked="0"/>
    </xf>
    <xf numFmtId="39" fontId="84" fillId="0" borderId="29" xfId="61" applyNumberFormat="1" applyFont="1" applyBorder="1" applyAlignment="1">
      <alignment horizontal="left" vertical="center" indent="2"/>
    </xf>
    <xf numFmtId="38" fontId="79" fillId="0" borderId="0" xfId="0" applyNumberFormat="1" applyFont="1" applyAlignment="1">
      <alignment horizontal="right" vertical="center"/>
    </xf>
    <xf numFmtId="0" fontId="84" fillId="4" borderId="29" xfId="0" applyNumberFormat="1" applyFont="1" applyFill="1" applyBorder="1" applyAlignment="1">
      <alignment horizontal="left" vertical="center" indent="1"/>
    </xf>
    <xf numFmtId="0" fontId="76" fillId="4" borderId="29" xfId="0" applyNumberFormat="1" applyFont="1" applyFill="1" applyBorder="1" applyAlignment="1">
      <alignment horizontal="left" vertical="center" indent="1"/>
    </xf>
    <xf numFmtId="38" fontId="79" fillId="4" borderId="69" xfId="0" applyNumberFormat="1" applyFont="1" applyFill="1" applyBorder="1" applyAlignment="1">
      <alignment vertical="center"/>
    </xf>
    <xf numFmtId="0" fontId="79" fillId="4" borderId="74" xfId="0" applyNumberFormat="1" applyFont="1" applyFill="1" applyBorder="1" applyAlignment="1">
      <alignment horizontal="left" vertical="center" indent="1"/>
    </xf>
    <xf numFmtId="38" fontId="79" fillId="4" borderId="0" xfId="0" applyNumberFormat="1" applyFont="1" applyFill="1" applyAlignment="1">
      <alignment horizontal="right" vertical="center"/>
    </xf>
    <xf numFmtId="0" fontId="84" fillId="4" borderId="71" xfId="0" applyNumberFormat="1" applyFont="1" applyFill="1" applyBorder="1" applyAlignment="1">
      <alignment horizontal="left" vertical="center" indent="1"/>
    </xf>
    <xf numFmtId="169" fontId="84" fillId="4" borderId="0" xfId="0" applyFont="1" applyFill="1" applyAlignment="1">
      <alignment vertical="center"/>
    </xf>
    <xf numFmtId="40" fontId="79" fillId="4" borderId="42" xfId="0" applyNumberFormat="1" applyFont="1" applyFill="1" applyBorder="1" applyAlignment="1">
      <alignment horizontal="left" vertical="center"/>
    </xf>
    <xf numFmtId="0" fontId="84" fillId="4" borderId="68" xfId="0" applyNumberFormat="1" applyFont="1" applyFill="1" applyBorder="1" applyAlignment="1">
      <alignment horizontal="left" vertical="center" indent="2"/>
    </xf>
    <xf numFmtId="38" fontId="84" fillId="4" borderId="22" xfId="0" applyNumberFormat="1" applyFont="1" applyFill="1" applyBorder="1" applyAlignment="1">
      <alignment horizontal="right" vertical="center"/>
    </xf>
    <xf numFmtId="38" fontId="84" fillId="4" borderId="22" xfId="0" applyNumberFormat="1" applyFont="1" applyFill="1" applyBorder="1" applyAlignment="1">
      <alignment vertical="center"/>
    </xf>
    <xf numFmtId="38" fontId="84" fillId="4" borderId="43" xfId="0" applyNumberFormat="1" applyFont="1" applyFill="1" applyBorder="1" applyAlignment="1">
      <alignment horizontal="left" vertical="center"/>
    </xf>
    <xf numFmtId="10" fontId="129" fillId="38" borderId="45" xfId="47" applyNumberFormat="1" applyFont="1" applyFill="1" applyBorder="1" applyAlignment="1" applyProtection="1">
      <alignment vertical="center"/>
      <protection locked="0"/>
    </xf>
    <xf numFmtId="10" fontId="130" fillId="38" borderId="45" xfId="47" applyNumberFormat="1" applyFont="1" applyFill="1" applyBorder="1" applyAlignment="1">
      <alignment horizontal="right" vertical="center"/>
    </xf>
    <xf numFmtId="10" fontId="130" fillId="38" borderId="45" xfId="47" applyNumberFormat="1" applyFont="1" applyFill="1" applyBorder="1" applyAlignment="1">
      <alignment vertical="center"/>
    </xf>
    <xf numFmtId="10" fontId="130" fillId="38" borderId="45" xfId="47" applyNumberFormat="1" applyFont="1" applyFill="1" applyBorder="1" applyAlignment="1" applyProtection="1">
      <alignment horizontal="left" vertical="center" indent="1"/>
      <protection locked="0"/>
    </xf>
    <xf numFmtId="10" fontId="130" fillId="0" borderId="0" xfId="47" applyNumberFormat="1" applyFont="1" applyFill="1" applyBorder="1" applyAlignment="1" applyProtection="1">
      <alignment vertical="center"/>
      <protection locked="0"/>
    </xf>
    <xf numFmtId="38" fontId="79" fillId="41" borderId="20" xfId="0" applyNumberFormat="1" applyFont="1" applyFill="1" applyBorder="1" applyAlignment="1">
      <alignment horizontal="left" vertical="center"/>
    </xf>
    <xf numFmtId="0" fontId="131" fillId="0" borderId="82" xfId="0" applyNumberFormat="1" applyFont="1" applyBorder="1" applyAlignment="1" applyProtection="1">
      <alignment horizontal="left" vertical="center" indent="1"/>
      <protection locked="0"/>
    </xf>
    <xf numFmtId="199" fontId="79" fillId="0" borderId="83" xfId="0" applyNumberFormat="1" applyFont="1" applyBorder="1" applyAlignment="1" applyProtection="1">
      <alignment horizontal="right" vertical="top"/>
      <protection locked="0"/>
    </xf>
    <xf numFmtId="199" fontId="79" fillId="0" borderId="83" xfId="0" applyNumberFormat="1" applyFont="1" applyBorder="1" applyAlignment="1" applyProtection="1">
      <alignment vertical="top"/>
      <protection locked="0"/>
    </xf>
    <xf numFmtId="199" fontId="94" fillId="0" borderId="83" xfId="0" applyNumberFormat="1" applyFont="1" applyBorder="1" applyAlignment="1" applyProtection="1">
      <alignment vertical="top"/>
      <protection locked="0"/>
    </xf>
    <xf numFmtId="38" fontId="79" fillId="53" borderId="0" xfId="0" applyNumberFormat="1" applyFont="1" applyFill="1" applyAlignment="1">
      <alignment horizontal="left" vertical="center"/>
    </xf>
    <xf numFmtId="0" fontId="94" fillId="0" borderId="0" xfId="0" applyNumberFormat="1" applyFont="1" applyAlignment="1" applyProtection="1">
      <alignment vertical="top"/>
      <protection locked="0"/>
    </xf>
    <xf numFmtId="169" fontId="132" fillId="0" borderId="0" xfId="0" applyFont="1" applyAlignment="1" applyProtection="1">
      <alignment vertical="top"/>
      <protection locked="0"/>
    </xf>
    <xf numFmtId="0" fontId="133" fillId="4" borderId="82" xfId="0" applyNumberFormat="1" applyFont="1" applyFill="1" applyBorder="1" applyAlignment="1" applyProtection="1">
      <alignment horizontal="left" vertical="center" indent="1"/>
      <protection locked="0"/>
    </xf>
    <xf numFmtId="199" fontId="79" fillId="4" borderId="83" xfId="0" applyNumberFormat="1" applyFont="1" applyFill="1" applyBorder="1" applyAlignment="1" applyProtection="1">
      <alignment horizontal="right" vertical="top"/>
      <protection locked="0"/>
    </xf>
    <xf numFmtId="199" fontId="94" fillId="4" borderId="83" xfId="0" applyNumberFormat="1" applyFont="1" applyFill="1" applyBorder="1" applyAlignment="1" applyProtection="1">
      <alignment vertical="top"/>
      <protection locked="0"/>
    </xf>
    <xf numFmtId="0" fontId="72" fillId="0" borderId="82" xfId="0" applyNumberFormat="1" applyFont="1" applyBorder="1" applyAlignment="1">
      <alignment horizontal="left" vertical="center" indent="1"/>
    </xf>
    <xf numFmtId="0" fontId="79" fillId="0" borderId="83" xfId="0" applyNumberFormat="1" applyFont="1" applyBorder="1" applyAlignment="1">
      <alignment horizontal="right" vertical="center"/>
    </xf>
    <xf numFmtId="0" fontId="79" fillId="0" borderId="83" xfId="0" applyNumberFormat="1" applyFont="1" applyBorder="1" applyAlignment="1">
      <alignment horizontal="left" vertical="center" indent="1"/>
    </xf>
    <xf numFmtId="199" fontId="79" fillId="0" borderId="83" xfId="0" applyNumberFormat="1" applyFont="1" applyBorder="1" applyAlignment="1">
      <alignment horizontal="left" vertical="center" indent="1"/>
    </xf>
    <xf numFmtId="0" fontId="79" fillId="0" borderId="0" xfId="0" applyNumberFormat="1" applyFont="1" applyAlignment="1">
      <alignment vertical="center"/>
    </xf>
    <xf numFmtId="0" fontId="94" fillId="0" borderId="82" xfId="0" applyNumberFormat="1" applyFont="1" applyBorder="1" applyAlignment="1">
      <alignment horizontal="left" vertical="center" indent="2"/>
    </xf>
    <xf numFmtId="38" fontId="79" fillId="0" borderId="83" xfId="0" applyNumberFormat="1" applyFont="1" applyBorder="1" applyAlignment="1">
      <alignment horizontal="right" vertical="center"/>
    </xf>
    <xf numFmtId="38" fontId="94" fillId="0" borderId="83" xfId="0" applyNumberFormat="1" applyFont="1" applyBorder="1" applyAlignment="1">
      <alignment horizontal="right" vertical="center"/>
    </xf>
    <xf numFmtId="0" fontId="94" fillId="0" borderId="0" xfId="0" applyNumberFormat="1" applyFont="1" applyAlignment="1">
      <alignment vertical="center"/>
    </xf>
    <xf numFmtId="169" fontId="94" fillId="0" borderId="0" xfId="0" applyFont="1" applyAlignment="1">
      <alignment vertical="center"/>
    </xf>
    <xf numFmtId="0" fontId="94" fillId="0" borderId="82" xfId="0" applyNumberFormat="1" applyFont="1" applyBorder="1" applyAlignment="1">
      <alignment horizontal="left" vertical="center" indent="4"/>
    </xf>
    <xf numFmtId="199" fontId="79" fillId="0" borderId="83" xfId="0" applyNumberFormat="1" applyFont="1" applyBorder="1" applyAlignment="1">
      <alignment horizontal="right" vertical="center"/>
    </xf>
    <xf numFmtId="199" fontId="94" fillId="0" borderId="83" xfId="0" applyNumberFormat="1" applyFont="1" applyBorder="1" applyAlignment="1">
      <alignment horizontal="right" vertical="center"/>
    </xf>
    <xf numFmtId="0" fontId="81" fillId="0" borderId="82" xfId="0" applyNumberFormat="1" applyFont="1" applyBorder="1" applyAlignment="1">
      <alignment horizontal="left" vertical="center" indent="5"/>
    </xf>
    <xf numFmtId="38" fontId="81" fillId="0" borderId="83" xfId="0" applyNumberFormat="1" applyFont="1" applyBorder="1" applyAlignment="1">
      <alignment horizontal="right" vertical="center"/>
    </xf>
    <xf numFmtId="0" fontId="81" fillId="0" borderId="0" xfId="0" applyNumberFormat="1" applyFont="1" applyAlignment="1">
      <alignment vertical="center"/>
    </xf>
    <xf numFmtId="169" fontId="81" fillId="0" borderId="0" xfId="0" applyFont="1" applyAlignment="1">
      <alignment vertical="center"/>
    </xf>
    <xf numFmtId="0" fontId="76" fillId="0" borderId="82" xfId="0" applyNumberFormat="1" applyFont="1" applyBorder="1" applyAlignment="1">
      <alignment horizontal="left" vertical="center" indent="6"/>
    </xf>
    <xf numFmtId="38" fontId="76" fillId="0" borderId="83" xfId="0" applyNumberFormat="1" applyFont="1" applyBorder="1" applyAlignment="1">
      <alignment horizontal="right" vertical="center"/>
    </xf>
    <xf numFmtId="0" fontId="76" fillId="0" borderId="0" xfId="0" applyNumberFormat="1" applyFont="1" applyAlignment="1">
      <alignment vertical="center"/>
    </xf>
    <xf numFmtId="0" fontId="81" fillId="0" borderId="82" xfId="0" applyNumberFormat="1" applyFont="1" applyBorder="1" applyAlignment="1">
      <alignment horizontal="left" vertical="center" indent="6"/>
    </xf>
    <xf numFmtId="0" fontId="134" fillId="0" borderId="82" xfId="0" applyNumberFormat="1" applyFont="1" applyBorder="1" applyAlignment="1">
      <alignment horizontal="left" vertical="center" indent="5"/>
    </xf>
    <xf numFmtId="38" fontId="73" fillId="0" borderId="83" xfId="0" applyNumberFormat="1" applyFont="1" applyBorder="1" applyAlignment="1">
      <alignment horizontal="right" vertical="center"/>
    </xf>
    <xf numFmtId="38" fontId="134" fillId="0" borderId="83" xfId="0" applyNumberFormat="1" applyFont="1" applyBorder="1" applyAlignment="1">
      <alignment horizontal="right" vertical="center"/>
    </xf>
    <xf numFmtId="0" fontId="134" fillId="0" borderId="0" xfId="0" applyNumberFormat="1" applyFont="1" applyAlignment="1">
      <alignment vertical="center"/>
    </xf>
    <xf numFmtId="169" fontId="134" fillId="0" borderId="0" xfId="0" applyFont="1" applyAlignment="1">
      <alignment vertical="center"/>
    </xf>
    <xf numFmtId="0" fontId="135" fillId="0" borderId="82" xfId="0" applyNumberFormat="1" applyFont="1" applyBorder="1" applyAlignment="1">
      <alignment horizontal="left" vertical="center" indent="5"/>
    </xf>
    <xf numFmtId="38" fontId="135" fillId="0" borderId="83" xfId="0" applyNumberFormat="1" applyFont="1" applyBorder="1" applyAlignment="1">
      <alignment horizontal="right" vertical="center"/>
    </xf>
    <xf numFmtId="0" fontId="135" fillId="0" borderId="0" xfId="0" applyNumberFormat="1" applyFont="1" applyAlignment="1">
      <alignment vertical="center"/>
    </xf>
    <xf numFmtId="169" fontId="135" fillId="0" borderId="0" xfId="0" applyFont="1" applyAlignment="1">
      <alignment vertical="center"/>
    </xf>
    <xf numFmtId="0" fontId="135" fillId="0" borderId="82" xfId="0" applyNumberFormat="1" applyFont="1" applyBorder="1" applyAlignment="1">
      <alignment horizontal="left" vertical="center" indent="6"/>
    </xf>
    <xf numFmtId="169" fontId="118" fillId="0" borderId="82" xfId="0" applyFont="1" applyBorder="1" applyAlignment="1">
      <alignment horizontal="left" vertical="center" indent="2"/>
    </xf>
    <xf numFmtId="169" fontId="79" fillId="0" borderId="83" xfId="0" applyFont="1" applyBorder="1" applyAlignment="1">
      <alignment horizontal="right" vertical="center"/>
    </xf>
    <xf numFmtId="169" fontId="79" fillId="0" borderId="83" xfId="0" applyFont="1" applyBorder="1" applyAlignment="1">
      <alignment vertical="center"/>
    </xf>
    <xf numFmtId="169" fontId="136" fillId="0" borderId="83" xfId="0" applyFont="1" applyBorder="1" applyAlignment="1">
      <alignment vertical="center"/>
    </xf>
    <xf numFmtId="169" fontId="137" fillId="0" borderId="83" xfId="0" applyFont="1" applyBorder="1" applyAlignment="1">
      <alignment horizontal="right" vertical="center"/>
    </xf>
    <xf numFmtId="169" fontId="118" fillId="0" borderId="0" xfId="0" applyFont="1" applyAlignment="1">
      <alignment vertical="center"/>
    </xf>
    <xf numFmtId="0" fontId="94" fillId="0" borderId="82" xfId="0" applyNumberFormat="1" applyFont="1" applyBorder="1" applyAlignment="1">
      <alignment horizontal="left" vertical="center" indent="3"/>
    </xf>
    <xf numFmtId="0" fontId="135" fillId="0" borderId="82" xfId="0" applyNumberFormat="1" applyFont="1" applyBorder="1" applyAlignment="1">
      <alignment horizontal="left" vertical="center" indent="4"/>
    </xf>
    <xf numFmtId="0" fontId="76" fillId="0" borderId="82" xfId="0" applyNumberFormat="1" applyFont="1" applyBorder="1" applyAlignment="1">
      <alignment horizontal="left" vertical="center" indent="5"/>
    </xf>
    <xf numFmtId="0" fontId="134" fillId="0" borderId="82" xfId="0" applyNumberFormat="1" applyFont="1" applyBorder="1" applyAlignment="1">
      <alignment horizontal="left" vertical="center" indent="4"/>
    </xf>
    <xf numFmtId="169" fontId="118" fillId="0" borderId="82" xfId="0" applyFont="1" applyBorder="1" applyAlignment="1">
      <alignment horizontal="left" vertical="center" indent="1"/>
    </xf>
    <xf numFmtId="0" fontId="84" fillId="0" borderId="82" xfId="0" applyNumberFormat="1" applyFont="1" applyBorder="1" applyAlignment="1">
      <alignment horizontal="left" vertical="center" indent="2"/>
    </xf>
    <xf numFmtId="38" fontId="84" fillId="0" borderId="83" xfId="0" applyNumberFormat="1" applyFont="1" applyBorder="1" applyAlignment="1">
      <alignment horizontal="right" vertical="center"/>
    </xf>
    <xf numFmtId="0" fontId="84" fillId="0" borderId="0" xfId="0" applyNumberFormat="1" applyFont="1" applyAlignment="1">
      <alignment vertical="center"/>
    </xf>
    <xf numFmtId="0" fontId="138" fillId="0" borderId="82" xfId="0" applyNumberFormat="1" applyFont="1" applyBorder="1" applyAlignment="1">
      <alignment horizontal="left" vertical="center" indent="1"/>
    </xf>
    <xf numFmtId="38" fontId="83" fillId="0" borderId="83" xfId="0" applyNumberFormat="1" applyFont="1" applyBorder="1" applyAlignment="1">
      <alignment horizontal="right" vertical="center"/>
    </xf>
    <xf numFmtId="38" fontId="139" fillId="0" borderId="83" xfId="0" applyNumberFormat="1" applyFont="1" applyBorder="1" applyAlignment="1">
      <alignment horizontal="right" vertical="center"/>
    </xf>
    <xf numFmtId="0" fontId="139" fillId="0" borderId="0" xfId="0" applyNumberFormat="1" applyFont="1" applyAlignment="1">
      <alignment vertical="center"/>
    </xf>
    <xf numFmtId="169" fontId="139" fillId="0" borderId="0" xfId="0" applyFont="1" applyAlignment="1">
      <alignment vertical="center"/>
    </xf>
    <xf numFmtId="0" fontId="94" fillId="0" borderId="82" xfId="0" applyNumberFormat="1" applyFont="1" applyBorder="1" applyAlignment="1">
      <alignment horizontal="left" vertical="center" indent="5"/>
    </xf>
    <xf numFmtId="169" fontId="87" fillId="0" borderId="82" xfId="0" applyFont="1" applyBorder="1" applyAlignment="1">
      <alignment horizontal="left" vertical="center" indent="2"/>
    </xf>
    <xf numFmtId="169" fontId="83" fillId="0" borderId="83" xfId="0" applyFont="1" applyBorder="1" applyAlignment="1">
      <alignment horizontal="right" vertical="center"/>
    </xf>
    <xf numFmtId="169" fontId="83" fillId="0" borderId="83" xfId="0" applyFont="1" applyBorder="1" applyAlignment="1">
      <alignment vertical="center"/>
    </xf>
    <xf numFmtId="169" fontId="88" fillId="0" borderId="83" xfId="0" applyFont="1" applyBorder="1" applyAlignment="1">
      <alignment vertical="center"/>
    </xf>
    <xf numFmtId="169" fontId="89" fillId="0" borderId="83" xfId="0" applyFont="1" applyBorder="1" applyAlignment="1">
      <alignment horizontal="right" vertical="center"/>
    </xf>
    <xf numFmtId="38" fontId="140" fillId="0" borderId="83" xfId="0" applyNumberFormat="1" applyFont="1" applyBorder="1" applyAlignment="1">
      <alignment horizontal="right" vertical="center"/>
    </xf>
    <xf numFmtId="38" fontId="141" fillId="0" borderId="83" xfId="0" applyNumberFormat="1" applyFont="1" applyBorder="1" applyAlignment="1">
      <alignment horizontal="right" vertical="center"/>
    </xf>
    <xf numFmtId="0" fontId="141" fillId="0" borderId="0" xfId="0" applyNumberFormat="1" applyFont="1" applyAlignment="1">
      <alignment vertical="center"/>
    </xf>
    <xf numFmtId="169" fontId="141" fillId="0" borderId="0" xfId="0" applyFont="1" applyAlignment="1">
      <alignment vertical="center"/>
    </xf>
    <xf numFmtId="38" fontId="84" fillId="0" borderId="84" xfId="0" applyNumberFormat="1" applyFont="1" applyBorder="1" applyAlignment="1">
      <alignment horizontal="right" vertical="center"/>
    </xf>
    <xf numFmtId="37" fontId="72" fillId="0" borderId="82" xfId="0" applyNumberFormat="1" applyFont="1" applyBorder="1" applyAlignment="1" applyProtection="1">
      <alignment horizontal="left" vertical="center" indent="1"/>
      <protection locked="0"/>
    </xf>
    <xf numFmtId="37" fontId="72" fillId="0" borderId="85" xfId="0" applyNumberFormat="1" applyFont="1" applyBorder="1" applyAlignment="1">
      <alignment horizontal="right" vertical="center"/>
    </xf>
    <xf numFmtId="37" fontId="72" fillId="0" borderId="85" xfId="0" applyNumberFormat="1" applyFont="1" applyBorder="1" applyAlignment="1">
      <alignment vertical="center"/>
    </xf>
    <xf numFmtId="37" fontId="72" fillId="0" borderId="83" xfId="0" applyNumberFormat="1" applyFont="1" applyBorder="1" applyAlignment="1">
      <alignment vertical="center"/>
    </xf>
    <xf numFmtId="0" fontId="84" fillId="0" borderId="82" xfId="0" applyNumberFormat="1" applyFont="1" applyBorder="1" applyAlignment="1">
      <alignment horizontal="left" vertical="center" indent="3"/>
    </xf>
    <xf numFmtId="199" fontId="84" fillId="0" borderId="83" xfId="0" applyNumberFormat="1" applyFont="1" applyBorder="1" applyAlignment="1">
      <alignment horizontal="right" vertical="center"/>
    </xf>
    <xf numFmtId="38" fontId="84" fillId="53" borderId="0" xfId="0" applyNumberFormat="1" applyFont="1" applyFill="1" applyAlignment="1">
      <alignment horizontal="left" vertical="center"/>
    </xf>
    <xf numFmtId="0" fontId="79" fillId="0" borderId="82" xfId="0" applyNumberFormat="1" applyFont="1" applyBorder="1" applyAlignment="1">
      <alignment horizontal="left" vertical="center" indent="1"/>
    </xf>
    <xf numFmtId="200" fontId="79" fillId="0" borderId="83" xfId="0" applyNumberFormat="1" applyFont="1" applyBorder="1" applyAlignment="1">
      <alignment horizontal="right" vertical="center"/>
    </xf>
    <xf numFmtId="0" fontId="142" fillId="0" borderId="0" xfId="0" applyNumberFormat="1" applyFont="1" applyAlignment="1">
      <alignment vertical="center"/>
    </xf>
    <xf numFmtId="169" fontId="142" fillId="0" borderId="0" xfId="0" applyFont="1" applyAlignment="1">
      <alignment vertical="center"/>
    </xf>
    <xf numFmtId="0" fontId="133" fillId="0" borderId="82" xfId="0" applyNumberFormat="1" applyFont="1" applyBorder="1" applyAlignment="1">
      <alignment horizontal="left" vertical="center" indent="1"/>
    </xf>
    <xf numFmtId="38" fontId="133" fillId="0" borderId="83" xfId="0" applyNumberFormat="1" applyFont="1" applyBorder="1" applyAlignment="1">
      <alignment horizontal="right" vertical="center"/>
    </xf>
    <xf numFmtId="0" fontId="133" fillId="0" borderId="0" xfId="0" applyNumberFormat="1" applyFont="1" applyAlignment="1">
      <alignment vertical="center"/>
    </xf>
    <xf numFmtId="169" fontId="133" fillId="0" borderId="0" xfId="0" applyFont="1" applyAlignment="1">
      <alignment vertical="center"/>
    </xf>
    <xf numFmtId="169" fontId="94" fillId="0" borderId="82" xfId="0" applyFont="1" applyBorder="1" applyAlignment="1">
      <alignment horizontal="left" vertical="center" indent="1"/>
    </xf>
    <xf numFmtId="200" fontId="143" fillId="0" borderId="83" xfId="0" applyNumberFormat="1" applyFont="1" applyBorder="1" applyAlignment="1">
      <alignment horizontal="right" vertical="center"/>
    </xf>
    <xf numFmtId="37" fontId="79" fillId="0" borderId="83" xfId="0" applyNumberFormat="1" applyFont="1" applyBorder="1" applyAlignment="1">
      <alignment horizontal="right" vertical="center"/>
    </xf>
    <xf numFmtId="37" fontId="94" fillId="0" borderId="83" xfId="0" applyNumberFormat="1" applyFont="1" applyBorder="1" applyAlignment="1">
      <alignment horizontal="right" vertical="center"/>
    </xf>
    <xf numFmtId="38" fontId="84" fillId="41" borderId="20" xfId="0" applyNumberFormat="1" applyFont="1" applyFill="1" applyBorder="1" applyAlignment="1">
      <alignment horizontal="left" vertical="center"/>
    </xf>
    <xf numFmtId="0" fontId="76" fillId="0" borderId="82" xfId="0" applyNumberFormat="1" applyFont="1" applyBorder="1" applyAlignment="1">
      <alignment horizontal="left" vertical="center" indent="4"/>
    </xf>
    <xf numFmtId="37" fontId="76" fillId="0" borderId="83" xfId="0" applyNumberFormat="1" applyFont="1" applyBorder="1" applyAlignment="1">
      <alignment horizontal="right" vertical="center"/>
    </xf>
    <xf numFmtId="0" fontId="119" fillId="0" borderId="82" xfId="0" applyNumberFormat="1" applyFont="1" applyBorder="1" applyAlignment="1">
      <alignment horizontal="left" vertical="center" indent="4"/>
    </xf>
    <xf numFmtId="37" fontId="119" fillId="0" borderId="83" xfId="0" applyNumberFormat="1" applyFont="1" applyBorder="1" applyAlignment="1">
      <alignment horizontal="right" vertical="center"/>
    </xf>
    <xf numFmtId="37" fontId="81" fillId="0" borderId="83" xfId="0" applyNumberFormat="1" applyFont="1" applyBorder="1" applyAlignment="1">
      <alignment horizontal="right" vertical="center"/>
    </xf>
    <xf numFmtId="37" fontId="84" fillId="0" borderId="83" xfId="0" applyNumberFormat="1" applyFont="1" applyBorder="1" applyAlignment="1">
      <alignment horizontal="right" vertical="center"/>
    </xf>
    <xf numFmtId="0" fontId="84" fillId="0" borderId="82" xfId="0" applyNumberFormat="1" applyFont="1" applyBorder="1" applyAlignment="1">
      <alignment horizontal="left" vertical="center" indent="4"/>
    </xf>
    <xf numFmtId="0" fontId="94" fillId="0" borderId="82" xfId="0" applyNumberFormat="1" applyFont="1" applyBorder="1" applyAlignment="1">
      <alignment horizontal="left" vertical="center" indent="1"/>
    </xf>
    <xf numFmtId="0" fontId="94" fillId="0" borderId="83" xfId="0" applyNumberFormat="1" applyFont="1" applyBorder="1" applyAlignment="1">
      <alignment horizontal="right" vertical="center"/>
    </xf>
    <xf numFmtId="37" fontId="79" fillId="0" borderId="86" xfId="0" applyNumberFormat="1" applyFont="1" applyBorder="1" applyAlignment="1">
      <alignment horizontal="right" vertical="center"/>
    </xf>
    <xf numFmtId="37" fontId="133" fillId="0" borderId="83" xfId="0" applyNumberFormat="1" applyFont="1" applyBorder="1" applyAlignment="1">
      <alignment horizontal="right" vertical="center"/>
    </xf>
    <xf numFmtId="0" fontId="72" fillId="4" borderId="82" xfId="0" applyNumberFormat="1" applyFont="1" applyFill="1" applyBorder="1" applyAlignment="1">
      <alignment horizontal="left" vertical="center" indent="1"/>
    </xf>
    <xf numFmtId="0" fontId="79" fillId="4" borderId="83" xfId="0" applyNumberFormat="1" applyFont="1" applyFill="1" applyBorder="1" applyAlignment="1">
      <alignment horizontal="right" vertical="center"/>
    </xf>
    <xf numFmtId="0" fontId="79" fillId="4" borderId="83" xfId="0" applyNumberFormat="1" applyFont="1" applyFill="1" applyBorder="1" applyAlignment="1">
      <alignment horizontal="left" vertical="center" indent="1"/>
    </xf>
    <xf numFmtId="37" fontId="118" fillId="0" borderId="83" xfId="0" applyNumberFormat="1" applyFont="1" applyBorder="1" applyAlignment="1">
      <alignment horizontal="right" vertical="center"/>
    </xf>
    <xf numFmtId="0" fontId="79" fillId="0" borderId="82" xfId="0" applyNumberFormat="1" applyFont="1" applyBorder="1" applyAlignment="1">
      <alignment horizontal="left" vertical="center" indent="2"/>
    </xf>
    <xf numFmtId="181" fontId="79" fillId="0" borderId="82" xfId="0" applyNumberFormat="1" applyFont="1" applyBorder="1" applyAlignment="1">
      <alignment horizontal="left" vertical="center" indent="3"/>
    </xf>
    <xf numFmtId="37" fontId="79" fillId="0" borderId="83" xfId="47" applyNumberFormat="1" applyFont="1" applyFill="1" applyBorder="1" applyAlignment="1">
      <alignment horizontal="right" vertical="center"/>
    </xf>
    <xf numFmtId="37" fontId="118" fillId="0" borderId="83" xfId="47" applyNumberFormat="1" applyFont="1" applyFill="1" applyBorder="1" applyAlignment="1">
      <alignment horizontal="right" vertical="center"/>
    </xf>
    <xf numFmtId="37" fontId="84" fillId="0" borderId="83" xfId="47" applyNumberFormat="1" applyFont="1" applyFill="1" applyBorder="1" applyAlignment="1">
      <alignment horizontal="right" vertical="center"/>
    </xf>
    <xf numFmtId="181" fontId="79" fillId="0" borderId="82" xfId="0" applyNumberFormat="1" applyFont="1" applyBorder="1" applyAlignment="1">
      <alignment horizontal="left" vertical="center" indent="4"/>
    </xf>
    <xf numFmtId="37" fontId="72" fillId="0" borderId="83" xfId="0" applyNumberFormat="1" applyFont="1" applyBorder="1" applyAlignment="1">
      <alignment horizontal="right" vertical="center"/>
    </xf>
    <xf numFmtId="37" fontId="77" fillId="0" borderId="83" xfId="0" applyNumberFormat="1" applyFont="1" applyBorder="1" applyAlignment="1">
      <alignment vertical="center"/>
    </xf>
    <xf numFmtId="0" fontId="144" fillId="0" borderId="55" xfId="0" applyNumberFormat="1" applyFont="1" applyBorder="1" applyAlignment="1">
      <alignment horizontal="left" vertical="center" indent="1"/>
    </xf>
    <xf numFmtId="38" fontId="144" fillId="0" borderId="0" xfId="0" applyNumberFormat="1" applyFont="1" applyAlignment="1">
      <alignment horizontal="right" vertical="center"/>
    </xf>
    <xf numFmtId="0" fontId="144" fillId="0" borderId="0" xfId="0" applyNumberFormat="1" applyFont="1" applyAlignment="1">
      <alignment vertical="center"/>
    </xf>
    <xf numFmtId="169" fontId="144" fillId="0" borderId="0" xfId="0" applyFont="1" applyAlignment="1">
      <alignment vertical="center"/>
    </xf>
    <xf numFmtId="10" fontId="145" fillId="38" borderId="45" xfId="47" applyNumberFormat="1" applyFont="1" applyFill="1" applyBorder="1" applyAlignment="1" applyProtection="1">
      <alignment vertical="center"/>
      <protection locked="0"/>
    </xf>
    <xf numFmtId="38" fontId="79" fillId="54" borderId="20" xfId="0" applyNumberFormat="1" applyFont="1" applyFill="1" applyBorder="1" applyAlignment="1">
      <alignment horizontal="left" vertical="center"/>
    </xf>
    <xf numFmtId="39" fontId="72" fillId="0" borderId="82" xfId="61" applyNumberFormat="1" applyFont="1" applyBorder="1" applyAlignment="1">
      <alignment horizontal="left" vertical="center" indent="1"/>
    </xf>
    <xf numFmtId="37" fontId="72" fillId="0" borderId="83" xfId="47" applyNumberFormat="1" applyFont="1" applyFill="1" applyBorder="1" applyAlignment="1">
      <alignment horizontal="right" vertical="center"/>
    </xf>
    <xf numFmtId="37" fontId="148" fillId="0" borderId="83" xfId="47" applyNumberFormat="1" applyFont="1" applyFill="1" applyBorder="1" applyAlignment="1">
      <alignment horizontal="right" vertical="center"/>
    </xf>
    <xf numFmtId="37" fontId="72" fillId="0" borderId="0" xfId="0" applyNumberFormat="1" applyFont="1" applyAlignment="1">
      <alignment vertical="center"/>
    </xf>
    <xf numFmtId="38" fontId="140" fillId="54" borderId="20" xfId="0" applyNumberFormat="1" applyFont="1" applyFill="1" applyBorder="1" applyAlignment="1">
      <alignment horizontal="left" vertical="center"/>
    </xf>
    <xf numFmtId="39" fontId="133" fillId="0" borderId="82" xfId="61" applyNumberFormat="1" applyFont="1" applyBorder="1" applyAlignment="1">
      <alignment horizontal="left" vertical="center" indent="1"/>
    </xf>
    <xf numFmtId="37" fontId="133" fillId="0" borderId="83" xfId="47" applyNumberFormat="1" applyFont="1" applyFill="1" applyBorder="1" applyAlignment="1">
      <alignment horizontal="right" vertical="center"/>
    </xf>
    <xf numFmtId="37" fontId="149" fillId="0" borderId="83" xfId="47" applyNumberFormat="1" applyFont="1" applyFill="1" applyBorder="1" applyAlignment="1">
      <alignment horizontal="right" vertical="center"/>
    </xf>
    <xf numFmtId="38" fontId="140" fillId="53" borderId="0" xfId="0" applyNumberFormat="1" applyFont="1" applyFill="1" applyAlignment="1">
      <alignment horizontal="left" vertical="center"/>
    </xf>
    <xf numFmtId="37" fontId="133" fillId="0" borderId="0" xfId="0" applyNumberFormat="1" applyFont="1" applyAlignment="1">
      <alignment vertical="center"/>
    </xf>
    <xf numFmtId="37" fontId="84" fillId="0" borderId="82" xfId="0" applyNumberFormat="1" applyFont="1" applyBorder="1" applyAlignment="1">
      <alignment horizontal="left" vertical="center" indent="1"/>
    </xf>
    <xf numFmtId="37" fontId="79" fillId="0" borderId="83" xfId="0" applyNumberFormat="1" applyFont="1" applyBorder="1" applyAlignment="1">
      <alignment vertical="center"/>
    </xf>
    <xf numFmtId="37" fontId="84" fillId="0" borderId="83" xfId="0" applyNumberFormat="1" applyFont="1" applyBorder="1" applyAlignment="1">
      <alignment vertical="center"/>
    </xf>
    <xf numFmtId="37" fontId="84" fillId="0" borderId="0" xfId="0" applyNumberFormat="1" applyFont="1" applyAlignment="1" applyProtection="1">
      <alignment vertical="center"/>
      <protection locked="0"/>
    </xf>
    <xf numFmtId="37" fontId="148" fillId="0" borderId="82" xfId="0" applyNumberFormat="1" applyFont="1" applyBorder="1" applyAlignment="1">
      <alignment horizontal="left" vertical="center" indent="1"/>
    </xf>
    <xf numFmtId="37" fontId="148" fillId="0" borderId="83" xfId="0" applyNumberFormat="1" applyFont="1" applyBorder="1" applyAlignment="1">
      <alignment horizontal="right" vertical="center"/>
    </xf>
    <xf numFmtId="37" fontId="148" fillId="0" borderId="0" xfId="0" applyNumberFormat="1" applyFont="1" applyAlignment="1" applyProtection="1">
      <alignment horizontal="right" vertical="center"/>
      <protection locked="0"/>
    </xf>
    <xf numFmtId="37" fontId="94" fillId="0" borderId="82" xfId="0" applyNumberFormat="1" applyFont="1" applyBorder="1" applyAlignment="1">
      <alignment horizontal="left" vertical="center" indent="2"/>
    </xf>
    <xf numFmtId="37" fontId="94" fillId="0" borderId="83" xfId="0" applyNumberFormat="1" applyFont="1" applyBorder="1" applyAlignment="1">
      <alignment vertical="center"/>
    </xf>
    <xf numFmtId="37" fontId="94" fillId="0" borderId="0" xfId="0" applyNumberFormat="1" applyFont="1" applyAlignment="1" applyProtection="1">
      <alignment vertical="center"/>
      <protection locked="0"/>
    </xf>
    <xf numFmtId="37" fontId="84" fillId="0" borderId="82" xfId="0" applyNumberFormat="1" applyFont="1" applyBorder="1" applyAlignment="1">
      <alignment horizontal="left" vertical="center" indent="2"/>
    </xf>
    <xf numFmtId="37" fontId="79" fillId="0" borderId="82" xfId="0" applyNumberFormat="1" applyFont="1" applyBorder="1" applyAlignment="1">
      <alignment horizontal="left" vertical="center" indent="1"/>
    </xf>
    <xf numFmtId="37" fontId="79" fillId="0" borderId="0" xfId="0" applyNumberFormat="1" applyFont="1" applyAlignment="1" applyProtection="1">
      <alignment vertical="center"/>
      <protection locked="0"/>
    </xf>
    <xf numFmtId="37" fontId="72" fillId="0" borderId="82" xfId="61" applyNumberFormat="1" applyFont="1" applyBorder="1" applyAlignment="1">
      <alignment horizontal="left" vertical="center" indent="1"/>
    </xf>
    <xf numFmtId="37" fontId="81" fillId="0" borderId="82" xfId="61" applyNumberFormat="1" applyFont="1" applyBorder="1" applyAlignment="1">
      <alignment horizontal="left" vertical="center" indent="2"/>
    </xf>
    <xf numFmtId="37" fontId="81" fillId="0" borderId="83" xfId="47" applyNumberFormat="1" applyFont="1" applyFill="1" applyBorder="1" applyAlignment="1">
      <alignment horizontal="right" vertical="center"/>
    </xf>
    <xf numFmtId="37" fontId="79" fillId="0" borderId="82" xfId="0" applyNumberFormat="1" applyFont="1" applyBorder="1" applyAlignment="1">
      <alignment horizontal="left" vertical="center" indent="2"/>
    </xf>
    <xf numFmtId="37" fontId="79" fillId="0" borderId="82" xfId="0" applyNumberFormat="1" applyFont="1" applyBorder="1" applyAlignment="1" applyProtection="1">
      <alignment horizontal="left" vertical="center" indent="1"/>
      <protection locked="0"/>
    </xf>
    <xf numFmtId="37" fontId="94" fillId="0" borderId="82" xfId="0" applyNumberFormat="1" applyFont="1" applyBorder="1" applyAlignment="1">
      <alignment horizontal="left" vertical="center" indent="1"/>
    </xf>
    <xf numFmtId="37" fontId="94" fillId="0" borderId="0" xfId="0" applyNumberFormat="1" applyFont="1" applyAlignment="1" applyProtection="1">
      <alignment horizontal="right" vertical="center"/>
      <protection locked="0"/>
    </xf>
    <xf numFmtId="37" fontId="84" fillId="0" borderId="82" xfId="0" applyNumberFormat="1" applyFont="1" applyBorder="1" applyAlignment="1">
      <alignment horizontal="left" vertical="center" indent="3"/>
    </xf>
    <xf numFmtId="37" fontId="94" fillId="0" borderId="82" xfId="0" applyNumberFormat="1" applyFont="1" applyBorder="1" applyAlignment="1" applyProtection="1">
      <alignment horizontal="left" vertical="center" indent="1"/>
      <protection locked="0"/>
    </xf>
    <xf numFmtId="37" fontId="118" fillId="0" borderId="82" xfId="0" applyNumberFormat="1" applyFont="1" applyBorder="1" applyAlignment="1">
      <alignment horizontal="left" vertical="center" indent="1"/>
    </xf>
    <xf numFmtId="37" fontId="136" fillId="0" borderId="83" xfId="0" applyNumberFormat="1" applyFont="1" applyBorder="1" applyAlignment="1">
      <alignment vertical="center"/>
    </xf>
    <xf numFmtId="37" fontId="137" fillId="0" borderId="83" xfId="0" applyNumberFormat="1" applyFont="1" applyBorder="1" applyAlignment="1">
      <alignment horizontal="right" vertical="center"/>
    </xf>
    <xf numFmtId="37" fontId="118" fillId="0" borderId="0" xfId="0" applyNumberFormat="1" applyFont="1" applyAlignment="1">
      <alignment vertical="center"/>
    </xf>
    <xf numFmtId="37" fontId="84" fillId="0" borderId="0" xfId="0" applyNumberFormat="1" applyFont="1" applyAlignment="1" applyProtection="1">
      <alignment horizontal="right" vertical="center"/>
      <protection locked="0"/>
    </xf>
    <xf numFmtId="37" fontId="94" fillId="0" borderId="82" xfId="0" applyNumberFormat="1" applyFont="1" applyBorder="1" applyAlignment="1">
      <alignment horizontal="left" vertical="center" indent="3"/>
    </xf>
    <xf numFmtId="37" fontId="84" fillId="0" borderId="82" xfId="0" applyNumberFormat="1" applyFont="1" applyBorder="1" applyAlignment="1">
      <alignment horizontal="left" vertical="center" indent="4"/>
    </xf>
    <xf numFmtId="37" fontId="72" fillId="0" borderId="83" xfId="0" applyNumberFormat="1" applyFont="1" applyBorder="1" applyAlignment="1" applyProtection="1">
      <alignment horizontal="right" vertical="center"/>
      <protection locked="0"/>
    </xf>
    <xf numFmtId="37" fontId="148" fillId="0" borderId="83" xfId="0" applyNumberFormat="1" applyFont="1" applyBorder="1" applyAlignment="1" applyProtection="1">
      <alignment horizontal="right" vertical="center"/>
      <protection locked="0"/>
    </xf>
    <xf numFmtId="37" fontId="81" fillId="0" borderId="82" xfId="0" applyNumberFormat="1" applyFont="1" applyBorder="1" applyAlignment="1">
      <alignment horizontal="left" vertical="center" indent="2"/>
    </xf>
    <xf numFmtId="37" fontId="81" fillId="0" borderId="83" xfId="0" applyNumberFormat="1" applyFont="1" applyBorder="1" applyAlignment="1">
      <alignment vertical="center"/>
    </xf>
    <xf numFmtId="37" fontId="81" fillId="0" borderId="0" xfId="0" applyNumberFormat="1" applyFont="1" applyAlignment="1" applyProtection="1">
      <alignment vertical="center"/>
      <protection locked="0"/>
    </xf>
    <xf numFmtId="37" fontId="76" fillId="0" borderId="82" xfId="0" applyNumberFormat="1" applyFont="1" applyBorder="1" applyAlignment="1">
      <alignment horizontal="left" vertical="center" indent="3"/>
    </xf>
    <xf numFmtId="37" fontId="76" fillId="0" borderId="83" xfId="0" applyNumberFormat="1" applyFont="1" applyBorder="1" applyAlignment="1">
      <alignment vertical="center"/>
    </xf>
    <xf numFmtId="37" fontId="76" fillId="0" borderId="0" xfId="0" applyNumberFormat="1" applyFont="1" applyAlignment="1" applyProtection="1">
      <alignment vertical="center"/>
      <protection locked="0"/>
    </xf>
    <xf numFmtId="37" fontId="76" fillId="0" borderId="82" xfId="0" applyNumberFormat="1" applyFont="1" applyBorder="1" applyAlignment="1">
      <alignment horizontal="left" vertical="center" indent="4"/>
    </xf>
    <xf numFmtId="37" fontId="81" fillId="0" borderId="82" xfId="0" applyNumberFormat="1" applyFont="1" applyBorder="1" applyAlignment="1">
      <alignment horizontal="left" vertical="center" indent="3"/>
    </xf>
    <xf numFmtId="37" fontId="72" fillId="0" borderId="0" xfId="0" applyNumberFormat="1" applyFont="1" applyAlignment="1" applyProtection="1">
      <alignment horizontal="left" vertical="center" indent="1"/>
      <protection locked="0"/>
    </xf>
    <xf numFmtId="37" fontId="72" fillId="0" borderId="0" xfId="0" applyNumberFormat="1" applyFont="1" applyAlignment="1">
      <alignment horizontal="right" vertical="center"/>
    </xf>
    <xf numFmtId="10" fontId="150" fillId="38" borderId="88" xfId="47" applyNumberFormat="1" applyFont="1" applyFill="1" applyBorder="1" applyAlignment="1" applyProtection="1">
      <alignment vertical="center"/>
      <protection locked="0"/>
    </xf>
    <xf numFmtId="10" fontId="130" fillId="38" borderId="88" xfId="47" applyNumberFormat="1" applyFont="1" applyFill="1" applyBorder="1" applyAlignment="1">
      <alignment horizontal="right" vertical="center"/>
    </xf>
    <xf numFmtId="10" fontId="130" fillId="38" borderId="88" xfId="47" applyNumberFormat="1" applyFont="1" applyFill="1" applyBorder="1" applyAlignment="1">
      <alignment vertical="center"/>
    </xf>
    <xf numFmtId="10" fontId="130" fillId="38" borderId="88" xfId="47" applyNumberFormat="1" applyFont="1" applyFill="1" applyBorder="1" applyAlignment="1" applyProtection="1">
      <alignment horizontal="left" vertical="center" indent="1"/>
      <protection locked="0"/>
    </xf>
    <xf numFmtId="38" fontId="79" fillId="55" borderId="89" xfId="0" applyNumberFormat="1" applyFont="1" applyFill="1" applyBorder="1" applyAlignment="1">
      <alignment horizontal="left" vertical="center"/>
    </xf>
    <xf numFmtId="37" fontId="79" fillId="0" borderId="90" xfId="61" applyNumberFormat="1" applyFont="1" applyBorder="1" applyAlignment="1">
      <alignment horizontal="left" vertical="center" indent="1"/>
    </xf>
    <xf numFmtId="37" fontId="79" fillId="0" borderId="86" xfId="47" applyNumberFormat="1" applyFont="1" applyFill="1" applyBorder="1" applyAlignment="1">
      <alignment horizontal="right" vertical="center"/>
    </xf>
    <xf numFmtId="37" fontId="79" fillId="0" borderId="86" xfId="61" applyNumberFormat="1" applyFont="1" applyBorder="1" applyAlignment="1">
      <alignment vertical="center"/>
    </xf>
    <xf numFmtId="37" fontId="84" fillId="0" borderId="0" xfId="61" applyNumberFormat="1" applyFont="1" applyAlignment="1">
      <alignment vertical="center"/>
    </xf>
    <xf numFmtId="37" fontId="84" fillId="0" borderId="0" xfId="61" applyNumberFormat="1" applyFont="1" applyAlignment="1">
      <alignment horizontal="right" vertical="center"/>
    </xf>
    <xf numFmtId="38" fontId="79" fillId="55" borderId="28" xfId="0" applyNumberFormat="1" applyFont="1" applyFill="1" applyBorder="1" applyAlignment="1">
      <alignment horizontal="left" vertical="center"/>
    </xf>
    <xf numFmtId="37" fontId="84" fillId="0" borderId="0" xfId="0" applyNumberFormat="1" applyFont="1" applyAlignment="1">
      <alignment vertical="center"/>
    </xf>
    <xf numFmtId="37" fontId="72" fillId="0" borderId="91" xfId="61" applyNumberFormat="1" applyFont="1" applyBorder="1" applyAlignment="1">
      <alignment horizontal="left" vertical="center" indent="1"/>
    </xf>
    <xf numFmtId="37" fontId="79" fillId="0" borderId="83" xfId="61" applyNumberFormat="1" applyFont="1" applyBorder="1" applyAlignment="1">
      <alignment vertical="center"/>
    </xf>
    <xf numFmtId="37" fontId="72" fillId="0" borderId="91" xfId="0" applyNumberFormat="1" applyFont="1" applyBorder="1" applyAlignment="1" applyProtection="1">
      <alignment horizontal="left" vertical="center" indent="2"/>
      <protection locked="0"/>
    </xf>
    <xf numFmtId="37" fontId="91" fillId="0" borderId="91" xfId="0" applyNumberFormat="1" applyFont="1" applyBorder="1" applyAlignment="1">
      <alignment horizontal="left" vertical="center" indent="3"/>
    </xf>
    <xf numFmtId="37" fontId="79" fillId="0" borderId="0" xfId="47" applyNumberFormat="1" applyFont="1" applyFill="1" applyBorder="1" applyAlignment="1">
      <alignment horizontal="right" vertical="center"/>
    </xf>
    <xf numFmtId="37" fontId="79" fillId="0" borderId="0" xfId="0" applyNumberFormat="1" applyFont="1" applyAlignment="1">
      <alignment vertical="center"/>
    </xf>
    <xf numFmtId="37" fontId="84" fillId="0" borderId="91" xfId="0" applyNumberFormat="1" applyFont="1" applyBorder="1" applyAlignment="1">
      <alignment horizontal="left" vertical="center" indent="4"/>
    </xf>
    <xf numFmtId="37" fontId="84" fillId="0" borderId="0" xfId="47" applyNumberFormat="1" applyFont="1" applyFill="1" applyBorder="1" applyAlignment="1">
      <alignment horizontal="right" vertical="center"/>
    </xf>
    <xf numFmtId="37" fontId="79" fillId="0" borderId="91" xfId="0" applyNumberFormat="1" applyFont="1" applyBorder="1" applyAlignment="1">
      <alignment horizontal="left" vertical="center" indent="4"/>
    </xf>
    <xf numFmtId="37" fontId="79" fillId="0" borderId="84" xfId="47" applyNumberFormat="1" applyFont="1" applyFill="1" applyBorder="1" applyAlignment="1">
      <alignment horizontal="right" vertical="center"/>
    </xf>
    <xf numFmtId="37" fontId="72" fillId="0" borderId="91" xfId="0" applyNumberFormat="1" applyFont="1" applyBorder="1" applyAlignment="1" applyProtection="1">
      <alignment horizontal="left" vertical="center" indent="1"/>
      <protection locked="0"/>
    </xf>
    <xf numFmtId="37" fontId="79" fillId="0" borderId="91" xfId="0" applyNumberFormat="1" applyFont="1" applyBorder="1" applyAlignment="1">
      <alignment horizontal="left" vertical="center" indent="3"/>
    </xf>
    <xf numFmtId="37" fontId="84" fillId="0" borderId="91" xfId="0" applyNumberFormat="1" applyFont="1" applyBorder="1" applyAlignment="1">
      <alignment horizontal="left" vertical="center" indent="3"/>
    </xf>
    <xf numFmtId="37" fontId="73" fillId="0" borderId="91" xfId="0" applyNumberFormat="1" applyFont="1" applyBorder="1" applyAlignment="1">
      <alignment horizontal="left" vertical="center" indent="3"/>
    </xf>
    <xf numFmtId="37" fontId="73" fillId="0" borderId="83" xfId="47" applyNumberFormat="1" applyFont="1" applyFill="1" applyBorder="1" applyAlignment="1">
      <alignment horizontal="right" vertical="center"/>
    </xf>
    <xf numFmtId="37" fontId="73" fillId="0" borderId="0" xfId="47" applyNumberFormat="1" applyFont="1" applyFill="1" applyBorder="1" applyAlignment="1">
      <alignment horizontal="right" vertical="center"/>
    </xf>
    <xf numFmtId="37" fontId="73" fillId="0" borderId="0" xfId="0" applyNumberFormat="1" applyFont="1" applyAlignment="1">
      <alignment vertical="center"/>
    </xf>
    <xf numFmtId="37" fontId="94" fillId="0" borderId="0" xfId="47" applyNumberFormat="1" applyFont="1" applyFill="1" applyBorder="1" applyAlignment="1">
      <alignment horizontal="right" vertical="center"/>
    </xf>
    <xf numFmtId="37" fontId="118" fillId="0" borderId="91" xfId="0" applyNumberFormat="1" applyFont="1" applyBorder="1" applyAlignment="1">
      <alignment horizontal="left" vertical="center" indent="1"/>
    </xf>
    <xf numFmtId="37" fontId="136" fillId="0" borderId="0" xfId="0" applyNumberFormat="1" applyFont="1" applyAlignment="1">
      <alignment vertical="center"/>
    </xf>
    <xf numFmtId="37" fontId="137" fillId="0" borderId="0" xfId="0" applyNumberFormat="1" applyFont="1" applyAlignment="1">
      <alignment horizontal="right" vertical="center"/>
    </xf>
    <xf numFmtId="37" fontId="84" fillId="0" borderId="91" xfId="0" applyNumberFormat="1" applyFont="1" applyBorder="1" applyAlignment="1">
      <alignment horizontal="left" vertical="center" indent="1"/>
    </xf>
    <xf numFmtId="37" fontId="72" fillId="0" borderId="91" xfId="0" applyNumberFormat="1" applyFont="1" applyBorder="1" applyAlignment="1">
      <alignment horizontal="left" vertical="center" indent="1"/>
    </xf>
    <xf numFmtId="37" fontId="148" fillId="0" borderId="0" xfId="47" applyNumberFormat="1" applyFont="1" applyFill="1" applyBorder="1" applyAlignment="1">
      <alignment horizontal="right" vertical="center"/>
    </xf>
    <xf numFmtId="37" fontId="79" fillId="0" borderId="91" xfId="0" applyNumberFormat="1" applyFont="1" applyBorder="1" applyAlignment="1">
      <alignment horizontal="left" vertical="center" indent="2"/>
    </xf>
    <xf numFmtId="169" fontId="153" fillId="0" borderId="33" xfId="0" applyFont="1" applyBorder="1" applyAlignment="1">
      <alignment horizontal="left" vertical="center" indent="1"/>
    </xf>
    <xf numFmtId="38" fontId="79" fillId="0" borderId="0" xfId="47" applyNumberFormat="1" applyFont="1" applyFill="1" applyBorder="1" applyAlignment="1">
      <alignment horizontal="right" vertical="center"/>
    </xf>
    <xf numFmtId="169" fontId="154" fillId="0" borderId="0" xfId="0" applyFont="1" applyAlignment="1">
      <alignment vertical="center"/>
    </xf>
    <xf numFmtId="38" fontId="79" fillId="55" borderId="92" xfId="0" applyNumberFormat="1" applyFont="1" applyFill="1" applyBorder="1" applyAlignment="1">
      <alignment horizontal="left" vertical="center"/>
    </xf>
    <xf numFmtId="169" fontId="153" fillId="0" borderId="93" xfId="0" applyFont="1" applyBorder="1" applyAlignment="1">
      <alignment horizontal="left" vertical="center" indent="1"/>
    </xf>
    <xf numFmtId="38" fontId="79" fillId="0" borderId="94" xfId="47" applyNumberFormat="1" applyFont="1" applyFill="1" applyBorder="1" applyAlignment="1">
      <alignment horizontal="right" vertical="center"/>
    </xf>
    <xf numFmtId="38" fontId="79" fillId="55" borderId="95" xfId="0" applyNumberFormat="1" applyFont="1" applyFill="1" applyBorder="1" applyAlignment="1">
      <alignment horizontal="left" vertical="center"/>
    </xf>
    <xf numFmtId="169" fontId="83" fillId="0" borderId="0" xfId="0" applyFont="1" applyAlignment="1">
      <alignment horizontal="left" vertical="center"/>
    </xf>
    <xf numFmtId="169" fontId="101" fillId="0" borderId="0" xfId="0" applyFont="1" applyAlignment="1">
      <alignment vertical="center"/>
    </xf>
    <xf numFmtId="169" fontId="87" fillId="0" borderId="0" xfId="0" applyFont="1" applyAlignment="1">
      <alignment horizontal="left" vertical="center"/>
    </xf>
    <xf numFmtId="9" fontId="83" fillId="0" borderId="0" xfId="47" applyFont="1" applyFill="1" applyBorder="1" applyAlignment="1">
      <alignment vertical="center"/>
    </xf>
    <xf numFmtId="9" fontId="88" fillId="0" borderId="0" xfId="47" applyFont="1" applyFill="1" applyBorder="1" applyAlignment="1">
      <alignment vertical="center"/>
    </xf>
    <xf numFmtId="9" fontId="89" fillId="0" borderId="0" xfId="47" applyFont="1" applyFill="1" applyBorder="1" applyAlignment="1">
      <alignment horizontal="right" vertical="center"/>
    </xf>
    <xf numFmtId="169" fontId="37" fillId="0" borderId="1" xfId="1" applyNumberFormat="1" applyFont="1" applyBorder="1" applyAlignment="1" applyProtection="1">
      <alignment horizontal="center"/>
    </xf>
    <xf numFmtId="169" fontId="37" fillId="0" borderId="1" xfId="1" applyNumberFormat="1" applyFont="1" applyBorder="1" applyAlignment="1" applyProtection="1">
      <alignment horizontal="center" wrapText="1"/>
    </xf>
    <xf numFmtId="169" fontId="37" fillId="0" borderId="1" xfId="0" applyFont="1" applyBorder="1" applyAlignment="1">
      <alignment horizontal="center" wrapText="1"/>
    </xf>
    <xf numFmtId="175" fontId="37" fillId="3" borderId="0" xfId="0" applyNumberFormat="1" applyFont="1" applyFill="1" applyAlignment="1">
      <alignment horizontal="right" wrapText="1"/>
    </xf>
    <xf numFmtId="169" fontId="5" fillId="0" borderId="0" xfId="0" applyFont="1"/>
    <xf numFmtId="3" fontId="34" fillId="0" borderId="0" xfId="0" applyNumberFormat="1" applyFont="1"/>
    <xf numFmtId="171" fontId="30" fillId="0" borderId="0" xfId="47" applyNumberFormat="1" applyFont="1"/>
    <xf numFmtId="171" fontId="30" fillId="0" borderId="0" xfId="47" applyNumberFormat="1" applyFont="1" applyFill="1" applyBorder="1" applyAlignment="1">
      <alignment horizontal="left" vertical="center" indent="4"/>
    </xf>
    <xf numFmtId="169" fontId="34" fillId="0" borderId="2" xfId="0" applyFont="1" applyBorder="1"/>
    <xf numFmtId="3" fontId="38" fillId="0" borderId="0" xfId="0" applyNumberFormat="1" applyFont="1" applyAlignment="1">
      <alignment horizontal="right"/>
    </xf>
    <xf numFmtId="174" fontId="39" fillId="0" borderId="0" xfId="0" applyNumberFormat="1" applyFont="1" applyAlignment="1">
      <alignment horizontal="right"/>
    </xf>
    <xf numFmtId="3" fontId="34" fillId="3" borderId="0" xfId="0" applyNumberFormat="1" applyFont="1" applyFill="1" applyAlignment="1">
      <alignment horizontal="right"/>
    </xf>
    <xf numFmtId="171" fontId="25" fillId="0" borderId="0" xfId="0" applyNumberFormat="1" applyFont="1" applyAlignment="1">
      <alignment horizontal="right"/>
    </xf>
    <xf numFmtId="166" fontId="30" fillId="0" borderId="0" xfId="57" applyFont="1"/>
    <xf numFmtId="176" fontId="30" fillId="0" borderId="0" xfId="57" applyNumberFormat="1" applyFont="1"/>
    <xf numFmtId="3" fontId="29" fillId="0" borderId="0" xfId="2" applyNumberFormat="1" applyFont="1"/>
    <xf numFmtId="169" fontId="38" fillId="0" borderId="0" xfId="2" applyNumberFormat="1" applyFont="1"/>
    <xf numFmtId="169" fontId="37" fillId="0" borderId="0" xfId="0" applyFont="1" applyAlignment="1">
      <alignment horizontal="right" wrapText="1"/>
    </xf>
    <xf numFmtId="10" fontId="5" fillId="0" borderId="0" xfId="47" applyNumberFormat="1" applyFont="1"/>
    <xf numFmtId="1" fontId="37" fillId="0" borderId="1" xfId="0" applyNumberFormat="1" applyFont="1" applyBorder="1" applyAlignment="1">
      <alignment horizontal="center"/>
    </xf>
    <xf numFmtId="169" fontId="53" fillId="36" borderId="0" xfId="0" applyFont="1" applyFill="1"/>
    <xf numFmtId="169" fontId="56" fillId="0" borderId="0" xfId="0" applyFont="1" applyAlignment="1">
      <alignment horizontal="center" vertical="center"/>
    </xf>
    <xf numFmtId="169" fontId="30" fillId="0" borderId="14" xfId="0" applyFont="1" applyBorder="1"/>
    <xf numFmtId="1" fontId="34" fillId="0" borderId="14" xfId="0" applyNumberFormat="1" applyFont="1" applyBorder="1" applyAlignment="1">
      <alignment horizontal="center"/>
    </xf>
    <xf numFmtId="169" fontId="37" fillId="0" borderId="0" xfId="0" applyFont="1" applyAlignment="1">
      <alignment horizontal="left" wrapText="1" indent="2"/>
    </xf>
    <xf numFmtId="169" fontId="35" fillId="0" borderId="0" xfId="0" applyFont="1"/>
    <xf numFmtId="169" fontId="37" fillId="0" borderId="0" xfId="0" applyFont="1" applyAlignment="1">
      <alignment horizontal="center"/>
    </xf>
    <xf numFmtId="1" fontId="34" fillId="0" borderId="0" xfId="0" applyNumberFormat="1" applyFont="1"/>
    <xf numFmtId="169" fontId="33" fillId="0" borderId="0" xfId="1" applyNumberFormat="1" applyFont="1" applyBorder="1" applyAlignment="1" applyProtection="1">
      <alignment horizontal="center"/>
    </xf>
    <xf numFmtId="169" fontId="29" fillId="0" borderId="0" xfId="1" applyNumberFormat="1" applyFont="1" applyBorder="1" applyAlignment="1" applyProtection="1">
      <alignment horizontal="center"/>
    </xf>
    <xf numFmtId="1" fontId="30" fillId="0" borderId="0" xfId="0" applyNumberFormat="1" applyFont="1" applyAlignment="1">
      <alignment horizontal="right"/>
    </xf>
    <xf numFmtId="169" fontId="25" fillId="3" borderId="0" xfId="0" applyFont="1" applyFill="1" applyAlignment="1">
      <alignment horizontal="left"/>
    </xf>
    <xf numFmtId="202" fontId="25" fillId="0" borderId="0" xfId="57" applyNumberFormat="1" applyFont="1" applyBorder="1" applyAlignment="1">
      <alignment horizontal="right"/>
    </xf>
    <xf numFmtId="169" fontId="30" fillId="0" borderId="0" xfId="0" applyFont="1" applyAlignment="1">
      <alignment horizontal="center" vertical="center"/>
    </xf>
    <xf numFmtId="169" fontId="30" fillId="0" borderId="1" xfId="0" applyFont="1" applyBorder="1" applyAlignment="1">
      <alignment horizontal="center" vertical="center"/>
    </xf>
    <xf numFmtId="173" fontId="25" fillId="3" borderId="0" xfId="0" applyNumberFormat="1" applyFont="1" applyFill="1" applyAlignment="1">
      <alignment horizontal="right"/>
    </xf>
    <xf numFmtId="0" fontId="25" fillId="3" borderId="0" xfId="0" applyNumberFormat="1" applyFont="1" applyFill="1" applyAlignment="1">
      <alignment horizontal="right"/>
    </xf>
    <xf numFmtId="169" fontId="42" fillId="3" borderId="14" xfId="0" applyFont="1" applyFill="1" applyBorder="1" applyAlignment="1">
      <alignment wrapText="1"/>
    </xf>
    <xf numFmtId="1" fontId="42" fillId="3" borderId="14" xfId="0" applyNumberFormat="1" applyFont="1" applyFill="1" applyBorder="1" applyAlignment="1">
      <alignment horizontal="right"/>
    </xf>
    <xf numFmtId="169" fontId="42" fillId="0" borderId="14" xfId="0" applyFont="1" applyBorder="1"/>
    <xf numFmtId="169" fontId="30" fillId="3" borderId="1" xfId="0" applyFont="1" applyFill="1" applyBorder="1" applyAlignment="1">
      <alignment horizontal="center" vertical="center"/>
    </xf>
    <xf numFmtId="1" fontId="34" fillId="3" borderId="1" xfId="0" applyNumberFormat="1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left" indent="2"/>
    </xf>
    <xf numFmtId="0" fontId="156" fillId="0" borderId="0" xfId="2" applyFont="1"/>
    <xf numFmtId="169" fontId="39" fillId="0" borderId="0" xfId="0" applyFont="1" applyAlignment="1">
      <alignment horizontal="left" wrapText="1" indent="4"/>
    </xf>
    <xf numFmtId="169" fontId="38" fillId="0" borderId="0" xfId="0" applyFont="1"/>
    <xf numFmtId="169" fontId="29" fillId="0" borderId="0" xfId="0" applyFont="1"/>
    <xf numFmtId="1" fontId="34" fillId="0" borderId="0" xfId="0" applyNumberFormat="1" applyFont="1" applyAlignment="1">
      <alignment horizontal="center"/>
    </xf>
    <xf numFmtId="203" fontId="30" fillId="0" borderId="0" xfId="0" applyNumberFormat="1" applyFont="1"/>
    <xf numFmtId="166" fontId="37" fillId="0" borderId="0" xfId="57" applyFont="1" applyFill="1" applyAlignment="1">
      <alignment horizontal="left" wrapText="1"/>
    </xf>
    <xf numFmtId="166" fontId="37" fillId="0" borderId="0" xfId="57" applyFont="1" applyFill="1" applyBorder="1" applyAlignment="1">
      <alignment horizontal="left" wrapText="1"/>
    </xf>
    <xf numFmtId="176" fontId="37" fillId="0" borderId="0" xfId="57" applyNumberFormat="1" applyFont="1" applyFill="1" applyBorder="1" applyAlignment="1">
      <alignment horizontal="left" wrapText="1"/>
    </xf>
    <xf numFmtId="10" fontId="37" fillId="0" borderId="0" xfId="47" applyNumberFormat="1" applyFont="1" applyFill="1" applyBorder="1" applyAlignment="1">
      <alignment horizontal="left" wrapText="1"/>
    </xf>
    <xf numFmtId="202" fontId="36" fillId="0" borderId="0" xfId="57" applyNumberFormat="1" applyFont="1" applyBorder="1" applyAlignment="1">
      <alignment horizontal="right"/>
    </xf>
    <xf numFmtId="202" fontId="25" fillId="0" borderId="0" xfId="57" applyNumberFormat="1" applyFont="1" applyBorder="1"/>
    <xf numFmtId="176" fontId="37" fillId="0" borderId="0" xfId="57" applyNumberFormat="1" applyFont="1" applyFill="1" applyBorder="1" applyAlignment="1">
      <alignment horizontal="right"/>
    </xf>
    <xf numFmtId="176" fontId="34" fillId="0" borderId="0" xfId="57" applyNumberFormat="1" applyFont="1" applyBorder="1" applyAlignment="1"/>
    <xf numFmtId="176" fontId="25" fillId="0" borderId="0" xfId="57" applyNumberFormat="1" applyFont="1" applyBorder="1"/>
    <xf numFmtId="176" fontId="25" fillId="0" borderId="0" xfId="57" applyNumberFormat="1" applyFont="1" applyBorder="1" applyAlignment="1"/>
    <xf numFmtId="176" fontId="34" fillId="0" borderId="0" xfId="57" applyNumberFormat="1" applyFont="1" applyBorder="1"/>
    <xf numFmtId="176" fontId="30" fillId="0" borderId="0" xfId="57" applyNumberFormat="1" applyFont="1" applyBorder="1"/>
    <xf numFmtId="201" fontId="30" fillId="0" borderId="0" xfId="57" applyNumberFormat="1" applyFont="1"/>
    <xf numFmtId="14" fontId="30" fillId="0" borderId="0" xfId="0" applyNumberFormat="1" applyFont="1" applyAlignment="1">
      <alignment horizontal="center"/>
    </xf>
    <xf numFmtId="169" fontId="30" fillId="0" borderId="1" xfId="0" applyFont="1" applyBorder="1" applyAlignment="1">
      <alignment horizontal="left"/>
    </xf>
    <xf numFmtId="3" fontId="30" fillId="0" borderId="1" xfId="0" applyNumberFormat="1" applyFont="1" applyBorder="1"/>
    <xf numFmtId="169" fontId="39" fillId="0" borderId="1" xfId="0" applyFont="1" applyBorder="1"/>
    <xf numFmtId="204" fontId="39" fillId="0" borderId="0" xfId="57" applyNumberFormat="1" applyFont="1" applyBorder="1" applyAlignment="1">
      <alignment horizontal="right"/>
    </xf>
    <xf numFmtId="171" fontId="36" fillId="0" borderId="0" xfId="47" applyNumberFormat="1" applyFont="1" applyBorder="1" applyAlignment="1">
      <alignment horizontal="right"/>
    </xf>
    <xf numFmtId="169" fontId="34" fillId="0" borderId="0" xfId="0" applyFont="1" applyAlignment="1">
      <alignment horizontal="left" vertical="center" indent="1"/>
    </xf>
    <xf numFmtId="169" fontId="158" fillId="0" borderId="0" xfId="0" applyFont="1" applyAlignment="1">
      <alignment horizontal="right"/>
    </xf>
    <xf numFmtId="169" fontId="30" fillId="0" borderId="0" xfId="0" applyFont="1" applyAlignment="1">
      <alignment vertical="center" wrapText="1"/>
    </xf>
    <xf numFmtId="4" fontId="30" fillId="0" borderId="0" xfId="0" applyNumberFormat="1" applyFont="1"/>
    <xf numFmtId="169" fontId="34" fillId="0" borderId="0" xfId="0" applyFont="1" applyAlignment="1">
      <alignment vertical="center" wrapText="1"/>
    </xf>
    <xf numFmtId="3" fontId="30" fillId="0" borderId="0" xfId="47" applyNumberFormat="1" applyFont="1" applyFill="1"/>
    <xf numFmtId="169" fontId="37" fillId="0" borderId="2" xfId="0" applyFont="1" applyBorder="1" applyAlignment="1">
      <alignment horizontal="left" indent="1"/>
    </xf>
    <xf numFmtId="169" fontId="34" fillId="0" borderId="0" xfId="0" applyFont="1" applyAlignment="1">
      <alignment horizontal="left" vertical="center" indent="2"/>
    </xf>
    <xf numFmtId="3" fontId="25" fillId="0" borderId="0" xfId="0" applyNumberFormat="1" applyFont="1" applyAlignment="1">
      <alignment horizontal="right"/>
    </xf>
    <xf numFmtId="169" fontId="31" fillId="3" borderId="0" xfId="1" applyNumberFormat="1" applyFont="1" applyFill="1" applyBorder="1" applyAlignment="1" applyProtection="1">
      <alignment horizontal="left" indent="4"/>
    </xf>
    <xf numFmtId="1" fontId="30" fillId="3" borderId="0" xfId="0" applyNumberFormat="1" applyFont="1" applyFill="1" applyAlignment="1">
      <alignment horizontal="right"/>
    </xf>
    <xf numFmtId="169" fontId="25" fillId="3" borderId="0" xfId="0" applyFont="1" applyFill="1"/>
    <xf numFmtId="169" fontId="38" fillId="0" borderId="0" xfId="0" applyFont="1" applyAlignment="1">
      <alignment horizontal="left" vertical="center" indent="4"/>
    </xf>
    <xf numFmtId="171" fontId="34" fillId="0" borderId="0" xfId="47" applyNumberFormat="1" applyFont="1" applyFill="1" applyBorder="1" applyAlignment="1">
      <alignment vertical="center"/>
    </xf>
    <xf numFmtId="172" fontId="30" fillId="0" borderId="0" xfId="0" applyNumberFormat="1" applyFont="1"/>
    <xf numFmtId="1" fontId="34" fillId="0" borderId="14" xfId="0" applyNumberFormat="1" applyFont="1" applyBorder="1"/>
    <xf numFmtId="169" fontId="39" fillId="0" borderId="0" xfId="0" applyFont="1" applyAlignment="1">
      <alignment horizontal="left" vertical="center" indent="6"/>
    </xf>
    <xf numFmtId="169" fontId="37" fillId="0" borderId="101" xfId="0" applyFont="1" applyBorder="1"/>
    <xf numFmtId="169" fontId="34" fillId="0" borderId="98" xfId="0" applyFont="1" applyBorder="1"/>
    <xf numFmtId="169" fontId="30" fillId="0" borderId="98" xfId="0" applyFont="1" applyBorder="1"/>
    <xf numFmtId="169" fontId="158" fillId="0" borderId="98" xfId="0" applyFont="1" applyBorder="1" applyAlignment="1">
      <alignment horizontal="right"/>
    </xf>
    <xf numFmtId="171" fontId="30" fillId="0" borderId="98" xfId="47" applyNumberFormat="1" applyFont="1" applyBorder="1"/>
    <xf numFmtId="3" fontId="34" fillId="0" borderId="98" xfId="0" applyNumberFormat="1" applyFont="1" applyBorder="1"/>
    <xf numFmtId="3" fontId="30" fillId="0" borderId="98" xfId="0" applyNumberFormat="1" applyFont="1" applyBorder="1"/>
    <xf numFmtId="4" fontId="30" fillId="0" borderId="98" xfId="0" applyNumberFormat="1" applyFont="1" applyBorder="1"/>
    <xf numFmtId="169" fontId="37" fillId="0" borderId="98" xfId="0" applyFont="1" applyBorder="1"/>
    <xf numFmtId="3" fontId="30" fillId="0" borderId="98" xfId="47" applyNumberFormat="1" applyFont="1" applyFill="1" applyBorder="1"/>
    <xf numFmtId="169" fontId="39" fillId="0" borderId="98" xfId="0" applyFont="1" applyBorder="1"/>
    <xf numFmtId="171" fontId="30" fillId="0" borderId="98" xfId="47" applyNumberFormat="1" applyFont="1" applyFill="1" applyBorder="1"/>
    <xf numFmtId="169" fontId="30" fillId="0" borderId="98" xfId="0" applyFont="1" applyBorder="1" applyAlignment="1">
      <alignment horizontal="right"/>
    </xf>
    <xf numFmtId="169" fontId="34" fillId="0" borderId="98" xfId="0" applyFont="1" applyBorder="1" applyAlignment="1">
      <alignment horizontal="right"/>
    </xf>
    <xf numFmtId="169" fontId="159" fillId="0" borderId="16" xfId="64" applyFill="1" applyBorder="1"/>
    <xf numFmtId="3" fontId="160" fillId="0" borderId="0" xfId="0" applyNumberFormat="1" applyFont="1" applyAlignment="1">
      <alignment horizontal="right"/>
    </xf>
    <xf numFmtId="3" fontId="161" fillId="0" borderId="0" xfId="0" applyNumberFormat="1" applyFont="1" applyAlignment="1">
      <alignment horizontal="right"/>
    </xf>
    <xf numFmtId="3" fontId="161" fillId="0" borderId="98" xfId="0" applyNumberFormat="1" applyFont="1" applyBorder="1" applyAlignment="1">
      <alignment horizontal="right"/>
    </xf>
    <xf numFmtId="166" fontId="30" fillId="0" borderId="0" xfId="57" applyFont="1" applyBorder="1"/>
    <xf numFmtId="171" fontId="30" fillId="0" borderId="0" xfId="47" applyNumberFormat="1" applyFont="1" applyFill="1" applyBorder="1"/>
    <xf numFmtId="3" fontId="160" fillId="0" borderId="98" xfId="0" applyNumberFormat="1" applyFont="1" applyBorder="1" applyAlignment="1">
      <alignment horizontal="right"/>
    </xf>
    <xf numFmtId="1" fontId="34" fillId="56" borderId="2" xfId="0" applyNumberFormat="1" applyFont="1" applyFill="1" applyBorder="1" applyAlignment="1">
      <alignment horizontal="center" vertical="center"/>
    </xf>
    <xf numFmtId="1" fontId="34" fillId="0" borderId="105" xfId="0" applyNumberFormat="1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1" fontId="34" fillId="56" borderId="101" xfId="0" applyNumberFormat="1" applyFont="1" applyFill="1" applyBorder="1" applyAlignment="1">
      <alignment horizontal="center" vertical="center"/>
    </xf>
    <xf numFmtId="1" fontId="34" fillId="0" borderId="101" xfId="0" applyNumberFormat="1" applyFont="1" applyBorder="1" applyAlignment="1">
      <alignment horizontal="center" vertical="center"/>
    </xf>
    <xf numFmtId="1" fontId="30" fillId="56" borderId="105" xfId="0" applyNumberFormat="1" applyFont="1" applyFill="1" applyBorder="1" applyAlignment="1">
      <alignment horizontal="center" vertical="center"/>
    </xf>
    <xf numFmtId="1" fontId="30" fillId="56" borderId="2" xfId="0" applyNumberFormat="1" applyFont="1" applyFill="1" applyBorder="1" applyAlignment="1">
      <alignment horizontal="center" vertical="center"/>
    </xf>
    <xf numFmtId="171" fontId="30" fillId="0" borderId="0" xfId="47" applyNumberFormat="1" applyFont="1" applyBorder="1"/>
    <xf numFmtId="1" fontId="34" fillId="3" borderId="105" xfId="0" applyNumberFormat="1" applyFont="1" applyFill="1" applyBorder="1" applyAlignment="1">
      <alignment horizontal="center"/>
    </xf>
    <xf numFmtId="1" fontId="34" fillId="3" borderId="2" xfId="0" applyNumberFormat="1" applyFont="1" applyFill="1" applyBorder="1" applyAlignment="1">
      <alignment horizontal="center"/>
    </xf>
    <xf numFmtId="1" fontId="34" fillId="3" borderId="106" xfId="0" applyNumberFormat="1" applyFont="1" applyFill="1" applyBorder="1" applyAlignment="1">
      <alignment horizontal="center"/>
    </xf>
    <xf numFmtId="169" fontId="34" fillId="0" borderId="1" xfId="0" applyFont="1" applyBorder="1"/>
    <xf numFmtId="0" fontId="34" fillId="3" borderId="105" xfId="0" applyNumberFormat="1" applyFont="1" applyFill="1" applyBorder="1" applyAlignment="1">
      <alignment horizontal="center"/>
    </xf>
    <xf numFmtId="0" fontId="34" fillId="3" borderId="2" xfId="0" applyNumberFormat="1" applyFont="1" applyFill="1" applyBorder="1" applyAlignment="1">
      <alignment horizontal="center"/>
    </xf>
    <xf numFmtId="3" fontId="161" fillId="0" borderId="97" xfId="0" applyNumberFormat="1" applyFont="1" applyBorder="1" applyAlignment="1">
      <alignment horizontal="right"/>
    </xf>
    <xf numFmtId="3" fontId="161" fillId="0" borderId="99" xfId="0" applyNumberFormat="1" applyFont="1" applyBorder="1" applyAlignment="1">
      <alignment horizontal="right"/>
    </xf>
    <xf numFmtId="2" fontId="34" fillId="3" borderId="1" xfId="0" applyNumberFormat="1" applyFont="1" applyFill="1" applyBorder="1" applyAlignment="1">
      <alignment horizontal="left" indent="2"/>
    </xf>
    <xf numFmtId="169" fontId="34" fillId="3" borderId="1" xfId="0" applyFont="1" applyFill="1" applyBorder="1" applyAlignment="1">
      <alignment horizontal="right"/>
    </xf>
    <xf numFmtId="169" fontId="34" fillId="0" borderId="1" xfId="0" applyFont="1" applyBorder="1" applyAlignment="1">
      <alignment horizontal="right"/>
    </xf>
    <xf numFmtId="169" fontId="42" fillId="0" borderId="1" xfId="0" applyFont="1" applyBorder="1"/>
    <xf numFmtId="3" fontId="34" fillId="3" borderId="102" xfId="0" applyNumberFormat="1" applyFont="1" applyFill="1" applyBorder="1" applyAlignment="1">
      <alignment horizontal="right"/>
    </xf>
    <xf numFmtId="3" fontId="34" fillId="3" borderId="103" xfId="0" applyNumberFormat="1" applyFont="1" applyFill="1" applyBorder="1" applyAlignment="1">
      <alignment horizontal="right"/>
    </xf>
    <xf numFmtId="3" fontId="34" fillId="3" borderId="104" xfId="0" applyNumberFormat="1" applyFont="1" applyFill="1" applyBorder="1" applyAlignment="1">
      <alignment horizontal="right"/>
    </xf>
    <xf numFmtId="3" fontId="25" fillId="3" borderId="97" xfId="0" applyNumberFormat="1" applyFont="1" applyFill="1" applyBorder="1" applyAlignment="1">
      <alignment horizontal="right"/>
    </xf>
    <xf numFmtId="3" fontId="25" fillId="3" borderId="99" xfId="0" applyNumberFormat="1" applyFont="1" applyFill="1" applyBorder="1" applyAlignment="1">
      <alignment horizontal="right"/>
    </xf>
    <xf numFmtId="169" fontId="25" fillId="0" borderId="97" xfId="0" applyFont="1" applyBorder="1"/>
    <xf numFmtId="169" fontId="25" fillId="0" borderId="99" xfId="0" applyFont="1" applyBorder="1"/>
    <xf numFmtId="169" fontId="30" fillId="0" borderId="97" xfId="0" applyFont="1" applyBorder="1"/>
    <xf numFmtId="169" fontId="30" fillId="0" borderId="99" xfId="0" applyFont="1" applyBorder="1"/>
    <xf numFmtId="171" fontId="30" fillId="0" borderId="97" xfId="0" applyNumberFormat="1" applyFont="1" applyBorder="1" applyAlignment="1">
      <alignment horizontal="right"/>
    </xf>
    <xf numFmtId="171" fontId="30" fillId="0" borderId="99" xfId="0" applyNumberFormat="1" applyFont="1" applyBorder="1" applyAlignment="1">
      <alignment horizontal="right"/>
    </xf>
    <xf numFmtId="169" fontId="42" fillId="0" borderId="108" xfId="0" applyFont="1" applyBorder="1"/>
    <xf numFmtId="169" fontId="42" fillId="0" borderId="109" xfId="0" applyFont="1" applyBorder="1"/>
    <xf numFmtId="169" fontId="42" fillId="0" borderId="97" xfId="0" applyFont="1" applyBorder="1"/>
    <xf numFmtId="169" fontId="42" fillId="0" borderId="99" xfId="0" applyFont="1" applyBorder="1"/>
    <xf numFmtId="169" fontId="42" fillId="0" borderId="100" xfId="0" applyFont="1" applyBorder="1"/>
    <xf numFmtId="169" fontId="42" fillId="0" borderId="96" xfId="0" applyFont="1" applyBorder="1"/>
    <xf numFmtId="176" fontId="37" fillId="0" borderId="102" xfId="57" applyNumberFormat="1" applyFont="1" applyFill="1" applyBorder="1" applyAlignment="1">
      <alignment horizontal="right"/>
    </xf>
    <xf numFmtId="176" fontId="37" fillId="0" borderId="103" xfId="57" applyNumberFormat="1" applyFont="1" applyFill="1" applyBorder="1" applyAlignment="1">
      <alignment horizontal="right"/>
    </xf>
    <xf numFmtId="176" fontId="37" fillId="0" borderId="104" xfId="57" applyNumberFormat="1" applyFont="1" applyFill="1" applyBorder="1" applyAlignment="1">
      <alignment horizontal="right"/>
    </xf>
    <xf numFmtId="176" fontId="34" fillId="0" borderId="97" xfId="57" applyNumberFormat="1" applyFont="1" applyBorder="1" applyAlignment="1"/>
    <xf numFmtId="176" fontId="34" fillId="0" borderId="99" xfId="57" applyNumberFormat="1" applyFont="1" applyBorder="1" applyAlignment="1"/>
    <xf numFmtId="176" fontId="34" fillId="0" borderId="97" xfId="57" applyNumberFormat="1" applyFont="1" applyBorder="1"/>
    <xf numFmtId="176" fontId="34" fillId="0" borderId="99" xfId="57" applyNumberFormat="1" applyFont="1" applyBorder="1"/>
    <xf numFmtId="176" fontId="30" fillId="0" borderId="97" xfId="57" applyNumberFormat="1" applyFont="1" applyBorder="1"/>
    <xf numFmtId="176" fontId="30" fillId="0" borderId="99" xfId="57" applyNumberFormat="1" applyFont="1" applyBorder="1"/>
    <xf numFmtId="174" fontId="30" fillId="0" borderId="0" xfId="47" applyNumberFormat="1" applyFont="1" applyFill="1" applyBorder="1"/>
    <xf numFmtId="169" fontId="162" fillId="0" borderId="0" xfId="0" applyFont="1"/>
    <xf numFmtId="169" fontId="162" fillId="0" borderId="0" xfId="0" applyFont="1" applyAlignment="1">
      <alignment horizontal="left" wrapText="1" indent="2"/>
    </xf>
    <xf numFmtId="169" fontId="162" fillId="0" borderId="0" xfId="0" applyFont="1" applyAlignment="1">
      <alignment horizontal="right"/>
    </xf>
    <xf numFmtId="169" fontId="30" fillId="0" borderId="97" xfId="0" applyFont="1" applyBorder="1" applyAlignment="1">
      <alignment horizontal="right"/>
    </xf>
    <xf numFmtId="169" fontId="34" fillId="0" borderId="97" xfId="0" applyFont="1" applyBorder="1"/>
    <xf numFmtId="169" fontId="34" fillId="0" borderId="99" xfId="0" applyFont="1" applyBorder="1"/>
    <xf numFmtId="169" fontId="34" fillId="0" borderId="108" xfId="0" applyFont="1" applyBorder="1"/>
    <xf numFmtId="169" fontId="34" fillId="0" borderId="14" xfId="0" applyFont="1" applyBorder="1"/>
    <xf numFmtId="169" fontId="34" fillId="0" borderId="109" xfId="0" applyFont="1" applyBorder="1"/>
    <xf numFmtId="169" fontId="34" fillId="0" borderId="100" xfId="0" applyFont="1" applyBorder="1"/>
    <xf numFmtId="169" fontId="34" fillId="0" borderId="96" xfId="0" applyFont="1" applyBorder="1"/>
    <xf numFmtId="3" fontId="162" fillId="0" borderId="97" xfId="0" applyNumberFormat="1" applyFont="1" applyBorder="1" applyAlignment="1">
      <alignment horizontal="right"/>
    </xf>
    <xf numFmtId="3" fontId="162" fillId="0" borderId="0" xfId="0" applyNumberFormat="1" applyFont="1" applyAlignment="1">
      <alignment horizontal="right"/>
    </xf>
    <xf numFmtId="3" fontId="162" fillId="0" borderId="99" xfId="0" applyNumberFormat="1" applyFont="1" applyBorder="1" applyAlignment="1">
      <alignment horizontal="right"/>
    </xf>
    <xf numFmtId="3" fontId="30" fillId="3" borderId="97" xfId="0" applyNumberFormat="1" applyFont="1" applyFill="1" applyBorder="1" applyAlignment="1">
      <alignment horizontal="right"/>
    </xf>
    <xf numFmtId="3" fontId="30" fillId="3" borderId="0" xfId="0" applyNumberFormat="1" applyFont="1" applyFill="1" applyAlignment="1">
      <alignment horizontal="right"/>
    </xf>
    <xf numFmtId="3" fontId="30" fillId="3" borderId="99" xfId="0" applyNumberFormat="1" applyFont="1" applyFill="1" applyBorder="1" applyAlignment="1">
      <alignment horizontal="right"/>
    </xf>
    <xf numFmtId="0" fontId="40" fillId="0" borderId="0" xfId="1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Alignment="1">
      <alignment horizontal="center"/>
    </xf>
    <xf numFmtId="0" fontId="30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176" fontId="30" fillId="0" borderId="97" xfId="57" applyNumberFormat="1" applyFont="1" applyBorder="1" applyAlignment="1"/>
    <xf numFmtId="176" fontId="30" fillId="0" borderId="0" xfId="57" applyNumberFormat="1" applyFont="1" applyBorder="1" applyAlignment="1"/>
    <xf numFmtId="176" fontId="30" fillId="0" borderId="99" xfId="57" applyNumberFormat="1" applyFont="1" applyBorder="1" applyAlignment="1"/>
    <xf numFmtId="3" fontId="163" fillId="0" borderId="0" xfId="0" applyNumberFormat="1" applyFont="1" applyAlignment="1">
      <alignment horizontal="right"/>
    </xf>
    <xf numFmtId="3" fontId="163" fillId="0" borderId="98" xfId="0" applyNumberFormat="1" applyFont="1" applyBorder="1" applyAlignment="1">
      <alignment horizontal="right"/>
    </xf>
    <xf numFmtId="3" fontId="162" fillId="0" borderId="98" xfId="0" applyNumberFormat="1" applyFont="1" applyBorder="1" applyAlignment="1">
      <alignment horizontal="right"/>
    </xf>
    <xf numFmtId="1" fontId="30" fillId="0" borderId="105" xfId="0" applyNumberFormat="1" applyFont="1" applyBorder="1" applyAlignment="1">
      <alignment horizontal="center" vertical="center"/>
    </xf>
    <xf numFmtId="1" fontId="30" fillId="0" borderId="2" xfId="0" applyNumberFormat="1" applyFont="1" applyBorder="1" applyAlignment="1">
      <alignment horizontal="center" vertical="center"/>
    </xf>
    <xf numFmtId="3" fontId="39" fillId="0" borderId="98" xfId="0" applyNumberFormat="1" applyFont="1" applyBorder="1"/>
    <xf numFmtId="169" fontId="37" fillId="0" borderId="101" xfId="0" applyFont="1" applyBorder="1" applyAlignment="1">
      <alignment horizontal="right"/>
    </xf>
    <xf numFmtId="1" fontId="39" fillId="0" borderId="0" xfId="0" applyNumberFormat="1" applyFont="1" applyAlignment="1">
      <alignment horizontal="right"/>
    </xf>
    <xf numFmtId="169" fontId="39" fillId="0" borderId="98" xfId="0" applyFont="1" applyBorder="1" applyAlignment="1">
      <alignment horizontal="right"/>
    </xf>
    <xf numFmtId="3" fontId="30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right"/>
    </xf>
    <xf numFmtId="1" fontId="34" fillId="56" borderId="105" xfId="0" applyNumberFormat="1" applyFont="1" applyFill="1" applyBorder="1" applyAlignment="1">
      <alignment horizontal="center" vertical="center"/>
    </xf>
    <xf numFmtId="1" fontId="34" fillId="56" borderId="106" xfId="0" applyNumberFormat="1" applyFont="1" applyFill="1" applyBorder="1" applyAlignment="1">
      <alignment horizontal="center" vertical="center"/>
    </xf>
    <xf numFmtId="3" fontId="30" fillId="0" borderId="97" xfId="0" applyNumberFormat="1" applyFont="1" applyBorder="1" applyAlignment="1">
      <alignment horizontal="right"/>
    </xf>
    <xf numFmtId="3" fontId="30" fillId="0" borderId="99" xfId="0" applyNumberFormat="1" applyFont="1" applyBorder="1" applyAlignment="1">
      <alignment horizontal="right"/>
    </xf>
    <xf numFmtId="169" fontId="39" fillId="0" borderId="107" xfId="0" applyFont="1" applyBorder="1" applyAlignment="1">
      <alignment horizontal="left" wrapText="1"/>
    </xf>
    <xf numFmtId="169" fontId="30" fillId="0" borderId="107" xfId="0" applyFont="1" applyBorder="1" applyAlignment="1">
      <alignment horizontal="center"/>
    </xf>
    <xf numFmtId="169" fontId="30" fillId="0" borderId="107" xfId="0" applyFont="1" applyBorder="1"/>
    <xf numFmtId="3" fontId="165" fillId="0" borderId="0" xfId="0" applyNumberFormat="1" applyFont="1" applyAlignment="1">
      <alignment horizontal="right"/>
    </xf>
    <xf numFmtId="3" fontId="166" fillId="0" borderId="0" xfId="0" applyNumberFormat="1" applyFont="1" applyAlignment="1">
      <alignment horizontal="right"/>
    </xf>
    <xf numFmtId="169" fontId="165" fillId="0" borderId="2" xfId="0" applyFont="1" applyBorder="1"/>
    <xf numFmtId="3" fontId="166" fillId="0" borderId="0" xfId="47" applyNumberFormat="1" applyFont="1" applyFill="1"/>
    <xf numFmtId="169" fontId="166" fillId="0" borderId="0" xfId="0" applyFont="1"/>
    <xf numFmtId="171" fontId="166" fillId="0" borderId="0" xfId="47" applyNumberFormat="1" applyFont="1" applyFill="1" applyBorder="1"/>
    <xf numFmtId="3" fontId="34" fillId="0" borderId="98" xfId="0" applyNumberFormat="1" applyFont="1" applyBorder="1" applyAlignment="1">
      <alignment horizontal="right"/>
    </xf>
    <xf numFmtId="3" fontId="30" fillId="0" borderId="98" xfId="0" applyNumberFormat="1" applyFont="1" applyBorder="1" applyAlignment="1">
      <alignment horizontal="right"/>
    </xf>
    <xf numFmtId="169" fontId="34" fillId="0" borderId="101" xfId="0" applyFont="1" applyBorder="1"/>
    <xf numFmtId="171" fontId="30" fillId="0" borderId="98" xfId="0" applyNumberFormat="1" applyFont="1" applyBorder="1" applyAlignment="1">
      <alignment horizontal="right"/>
    </xf>
    <xf numFmtId="10" fontId="30" fillId="0" borderId="0" xfId="47" applyNumberFormat="1" applyFont="1" applyAlignment="1">
      <alignment horizontal="center"/>
    </xf>
    <xf numFmtId="1" fontId="34" fillId="0" borderId="106" xfId="0" applyNumberFormat="1" applyFont="1" applyBorder="1" applyAlignment="1">
      <alignment horizontal="center" vertical="center"/>
    </xf>
    <xf numFmtId="169" fontId="39" fillId="0" borderId="0" xfId="0" applyFont="1" applyAlignment="1">
      <alignment horizontal="left" wrapText="1" indent="1"/>
    </xf>
    <xf numFmtId="169" fontId="37" fillId="0" borderId="0" xfId="0" applyFont="1" applyAlignment="1">
      <alignment horizontal="left" wrapText="1" indent="1"/>
    </xf>
    <xf numFmtId="169" fontId="30" fillId="0" borderId="0" xfId="0" applyFont="1" applyAlignment="1">
      <alignment horizontal="left" wrapText="1"/>
    </xf>
    <xf numFmtId="174" fontId="37" fillId="0" borderId="0" xfId="1" applyNumberFormat="1" applyFont="1" applyFill="1" applyAlignment="1" applyProtection="1">
      <alignment horizontal="center" wrapText="1"/>
    </xf>
    <xf numFmtId="169" fontId="168" fillId="58" borderId="0" xfId="0" applyFont="1" applyFill="1" applyAlignment="1">
      <alignment vertical="center"/>
    </xf>
    <xf numFmtId="169" fontId="167" fillId="58" borderId="0" xfId="0" applyFont="1" applyFill="1" applyAlignment="1">
      <alignment vertical="center"/>
    </xf>
    <xf numFmtId="3" fontId="37" fillId="0" borderId="0" xfId="0" applyNumberFormat="1" applyFont="1" applyAlignment="1">
      <alignment horizontal="right" wrapText="1"/>
    </xf>
    <xf numFmtId="171" fontId="30" fillId="0" borderId="0" xfId="0" applyNumberFormat="1" applyFont="1"/>
    <xf numFmtId="1" fontId="29" fillId="0" borderId="1" xfId="0" applyNumberFormat="1" applyFont="1" applyBorder="1" applyAlignment="1">
      <alignment horizontal="center" vertical="center"/>
    </xf>
    <xf numFmtId="176" fontId="169" fillId="3" borderId="0" xfId="57" applyNumberFormat="1" applyFont="1" applyFill="1"/>
    <xf numFmtId="3" fontId="30" fillId="0" borderId="0" xfId="47" applyNumberFormat="1" applyFont="1" applyFill="1" applyBorder="1"/>
    <xf numFmtId="169" fontId="30" fillId="0" borderId="0" xfId="0" applyFont="1" applyAlignment="1">
      <alignment horizontal="left" wrapText="1"/>
    </xf>
    <xf numFmtId="174" fontId="37" fillId="0" borderId="0" xfId="1" applyNumberFormat="1" applyFont="1" applyFill="1" applyAlignment="1" applyProtection="1">
      <alignment horizontal="center" wrapText="1"/>
    </xf>
    <xf numFmtId="10" fontId="66" fillId="52" borderId="67" xfId="47" applyNumberFormat="1" applyFont="1" applyFill="1" applyBorder="1" applyAlignment="1" applyProtection="1">
      <alignment horizontal="left" vertical="center" indent="1"/>
      <protection locked="0"/>
    </xf>
    <xf numFmtId="10" fontId="66" fillId="52" borderId="26" xfId="47" applyNumberFormat="1" applyFont="1" applyFill="1" applyBorder="1" applyAlignment="1" applyProtection="1">
      <alignment horizontal="left" vertical="center" indent="1"/>
      <protection locked="0"/>
    </xf>
    <xf numFmtId="10" fontId="128" fillId="38" borderId="44" xfId="47" applyNumberFormat="1" applyFont="1" applyFill="1" applyBorder="1" applyAlignment="1" applyProtection="1">
      <alignment horizontal="left" vertical="center" indent="1"/>
      <protection locked="0"/>
    </xf>
    <xf numFmtId="10" fontId="128" fillId="38" borderId="45" xfId="47" applyNumberFormat="1" applyFont="1" applyFill="1" applyBorder="1" applyAlignment="1" applyProtection="1">
      <alignment horizontal="left" vertical="center" indent="1"/>
      <protection locked="0"/>
    </xf>
    <xf numFmtId="10" fontId="145" fillId="38" borderId="44" xfId="47" applyNumberFormat="1" applyFont="1" applyFill="1" applyBorder="1" applyAlignment="1" applyProtection="1">
      <alignment horizontal="left" vertical="center" indent="1"/>
      <protection locked="0"/>
    </xf>
    <xf numFmtId="10" fontId="145" fillId="38" borderId="45" xfId="47" applyNumberFormat="1" applyFont="1" applyFill="1" applyBorder="1" applyAlignment="1" applyProtection="1">
      <alignment horizontal="left" vertical="center" indent="1"/>
      <protection locked="0"/>
    </xf>
    <xf numFmtId="10" fontId="150" fillId="38" borderId="87" xfId="47" applyNumberFormat="1" applyFont="1" applyFill="1" applyBorder="1" applyAlignment="1" applyProtection="1">
      <alignment horizontal="left" vertical="center" indent="1"/>
      <protection locked="0"/>
    </xf>
    <xf numFmtId="10" fontId="150" fillId="38" borderId="88" xfId="47" applyNumberFormat="1" applyFont="1" applyFill="1" applyBorder="1" applyAlignment="1" applyProtection="1">
      <alignment horizontal="left" vertical="center" indent="1"/>
      <protection locked="0"/>
    </xf>
    <xf numFmtId="10" fontId="68" fillId="46" borderId="44" xfId="47" applyNumberFormat="1" applyFont="1" applyFill="1" applyBorder="1" applyAlignment="1" applyProtection="1">
      <alignment horizontal="left" vertical="center" indent="2"/>
      <protection locked="0"/>
    </xf>
    <xf numFmtId="10" fontId="68" fillId="46" borderId="45" xfId="47" applyNumberFormat="1" applyFont="1" applyFill="1" applyBorder="1" applyAlignment="1" applyProtection="1">
      <alignment horizontal="left" vertical="center" indent="2"/>
      <protection locked="0"/>
    </xf>
    <xf numFmtId="10" fontId="68" fillId="47" borderId="44" xfId="47" applyNumberFormat="1" applyFont="1" applyFill="1" applyBorder="1" applyAlignment="1" applyProtection="1">
      <alignment horizontal="left" vertical="center" indent="2"/>
      <protection locked="0"/>
    </xf>
    <xf numFmtId="10" fontId="68" fillId="47" borderId="45" xfId="47" applyNumberFormat="1" applyFont="1" applyFill="1" applyBorder="1" applyAlignment="1" applyProtection="1">
      <alignment horizontal="left" vertical="center" indent="2"/>
      <protection locked="0"/>
    </xf>
    <xf numFmtId="10" fontId="68" fillId="38" borderId="44" xfId="47" applyNumberFormat="1" applyFont="1" applyFill="1" applyBorder="1" applyAlignment="1" applyProtection="1">
      <alignment horizontal="left" vertical="center" indent="2"/>
      <protection locked="0"/>
    </xf>
    <xf numFmtId="10" fontId="68" fillId="38" borderId="45" xfId="47" applyNumberFormat="1" applyFont="1" applyFill="1" applyBorder="1" applyAlignment="1" applyProtection="1">
      <alignment horizontal="left" vertical="center" indent="2"/>
      <protection locked="0"/>
    </xf>
    <xf numFmtId="10" fontId="99" fillId="48" borderId="67" xfId="47" applyNumberFormat="1" applyFont="1" applyFill="1" applyBorder="1" applyAlignment="1" applyProtection="1">
      <alignment horizontal="left" vertical="center" indent="1"/>
      <protection locked="0"/>
    </xf>
    <xf numFmtId="10" fontId="99" fillId="48" borderId="26" xfId="47" applyNumberFormat="1" applyFont="1" applyFill="1" applyBorder="1" applyAlignment="1" applyProtection="1">
      <alignment horizontal="left" vertical="center" indent="1"/>
      <protection locked="0"/>
    </xf>
    <xf numFmtId="10" fontId="99" fillId="49" borderId="67" xfId="47" applyNumberFormat="1" applyFont="1" applyFill="1" applyBorder="1" applyAlignment="1" applyProtection="1">
      <alignment horizontal="left" vertical="center" indent="1"/>
      <protection locked="0"/>
    </xf>
    <xf numFmtId="10" fontId="99" fillId="49" borderId="26" xfId="47" applyNumberFormat="1" applyFont="1" applyFill="1" applyBorder="1" applyAlignment="1" applyProtection="1">
      <alignment horizontal="left" vertical="center" indent="1"/>
      <protection locked="0"/>
    </xf>
    <xf numFmtId="10" fontId="99" fillId="51" borderId="67" xfId="47" applyNumberFormat="1" applyFont="1" applyFill="1" applyBorder="1" applyAlignment="1" applyProtection="1">
      <alignment horizontal="left" vertical="center" indent="1"/>
      <protection locked="0"/>
    </xf>
    <xf numFmtId="10" fontId="99" fillId="51" borderId="26" xfId="47" applyNumberFormat="1" applyFont="1" applyFill="1" applyBorder="1" applyAlignment="1" applyProtection="1">
      <alignment horizontal="left" vertical="center" indent="1"/>
      <protection locked="0"/>
    </xf>
    <xf numFmtId="10" fontId="68" fillId="45" borderId="44" xfId="47" applyNumberFormat="1" applyFont="1" applyFill="1" applyBorder="1" applyAlignment="1" applyProtection="1">
      <alignment horizontal="left" vertical="center" indent="2"/>
      <protection locked="0"/>
    </xf>
    <xf numFmtId="10" fontId="68" fillId="45" borderId="45" xfId="47" applyNumberFormat="1" applyFont="1" applyFill="1" applyBorder="1" applyAlignment="1" applyProtection="1">
      <alignment horizontal="left" vertical="center" indent="2"/>
      <protection locked="0"/>
    </xf>
    <xf numFmtId="10" fontId="68" fillId="40" borderId="17" xfId="47" applyNumberFormat="1" applyFont="1" applyFill="1" applyBorder="1" applyAlignment="1" applyProtection="1">
      <alignment horizontal="left" vertical="center" indent="1"/>
      <protection locked="0"/>
    </xf>
    <xf numFmtId="10" fontId="68" fillId="40" borderId="18" xfId="47" applyNumberFormat="1" applyFont="1" applyFill="1" applyBorder="1" applyAlignment="1" applyProtection="1">
      <alignment horizontal="left" vertical="center" indent="1"/>
      <protection locked="0"/>
    </xf>
    <xf numFmtId="10" fontId="68" fillId="42" borderId="44" xfId="47" applyNumberFormat="1" applyFont="1" applyFill="1" applyBorder="1" applyAlignment="1" applyProtection="1">
      <alignment horizontal="left" vertical="center" indent="2"/>
      <protection locked="0"/>
    </xf>
    <xf numFmtId="10" fontId="68" fillId="42" borderId="45" xfId="47" applyNumberFormat="1" applyFont="1" applyFill="1" applyBorder="1" applyAlignment="1" applyProtection="1">
      <alignment horizontal="left" vertical="center" indent="2"/>
      <protection locked="0"/>
    </xf>
    <xf numFmtId="10" fontId="68" fillId="43" borderId="44" xfId="47" applyNumberFormat="1" applyFont="1" applyFill="1" applyBorder="1" applyAlignment="1" applyProtection="1">
      <alignment horizontal="left" vertical="center" indent="2"/>
      <protection locked="0"/>
    </xf>
    <xf numFmtId="10" fontId="68" fillId="43" borderId="45" xfId="47" applyNumberFormat="1" applyFont="1" applyFill="1" applyBorder="1" applyAlignment="1" applyProtection="1">
      <alignment horizontal="left" vertical="center" indent="2"/>
      <protection locked="0"/>
    </xf>
    <xf numFmtId="10" fontId="68" fillId="44" borderId="44" xfId="47" applyNumberFormat="1" applyFont="1" applyFill="1" applyBorder="1" applyAlignment="1" applyProtection="1">
      <alignment horizontal="left" vertical="center" indent="2"/>
      <protection locked="0"/>
    </xf>
    <xf numFmtId="10" fontId="68" fillId="44" borderId="45" xfId="47" applyNumberFormat="1" applyFont="1" applyFill="1" applyBorder="1" applyAlignment="1" applyProtection="1">
      <alignment horizontal="left" vertical="center" indent="2"/>
      <protection locked="0"/>
    </xf>
    <xf numFmtId="14" fontId="30" fillId="0" borderId="1" xfId="0" applyNumberFormat="1" applyFont="1" applyBorder="1"/>
    <xf numFmtId="14" fontId="30" fillId="0" borderId="1" xfId="0" applyNumberFormat="1" applyFont="1" applyBorder="1" applyAlignment="1">
      <alignment horizontal="center"/>
    </xf>
    <xf numFmtId="10" fontId="25" fillId="0" borderId="0" xfId="0" applyNumberFormat="1" applyFont="1" applyAlignment="1">
      <alignment horizontal="right"/>
    </xf>
    <xf numFmtId="10" fontId="25" fillId="0" borderId="1" xfId="0" applyNumberFormat="1" applyFont="1" applyBorder="1" applyAlignment="1">
      <alignment horizontal="right"/>
    </xf>
    <xf numFmtId="3" fontId="30" fillId="0" borderId="1" xfId="0" applyNumberFormat="1" applyFont="1" applyBorder="1" applyAlignment="1">
      <alignment horizontal="right"/>
    </xf>
    <xf numFmtId="175" fontId="37" fillId="3" borderId="0" xfId="0" applyNumberFormat="1" applyFont="1" applyFill="1" applyBorder="1" applyAlignment="1">
      <alignment horizontal="right" wrapText="1"/>
    </xf>
    <xf numFmtId="169" fontId="170" fillId="0" borderId="103" xfId="0" applyFont="1" applyFill="1" applyBorder="1" applyAlignment="1">
      <alignment horizontal="left"/>
    </xf>
    <xf numFmtId="169" fontId="170" fillId="0" borderId="103" xfId="0" applyFont="1" applyFill="1" applyBorder="1"/>
    <xf numFmtId="3" fontId="170" fillId="0" borderId="103" xfId="0" applyNumberFormat="1" applyFont="1" applyFill="1" applyBorder="1"/>
    <xf numFmtId="10" fontId="170" fillId="0" borderId="103" xfId="0" applyNumberFormat="1" applyFont="1" applyFill="1" applyBorder="1" applyAlignment="1">
      <alignment horizontal="right"/>
    </xf>
    <xf numFmtId="3" fontId="170" fillId="0" borderId="103" xfId="0" applyNumberFormat="1" applyFont="1" applyFill="1" applyBorder="1" applyAlignment="1">
      <alignment horizontal="right"/>
    </xf>
    <xf numFmtId="14" fontId="170" fillId="0" borderId="103" xfId="0" applyNumberFormat="1" applyFont="1" applyFill="1" applyBorder="1"/>
    <xf numFmtId="14" fontId="170" fillId="0" borderId="103" xfId="0" applyNumberFormat="1" applyFont="1" applyFill="1" applyBorder="1" applyAlignment="1">
      <alignment horizontal="center"/>
    </xf>
  </cellXfs>
  <cellStyles count="7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57" builtinId="3"/>
    <cellStyle name="Comma 2 7" xfId="58" xr:uid="{00000000-0005-0000-0000-000012000000}"/>
    <cellStyle name="Comma 2 7 2" xfId="66" xr:uid="{00000000-0005-0000-0000-000013000000}"/>
    <cellStyle name="Comma 2 7 2 2" xfId="69" xr:uid="{00000000-0005-0000-0000-000014000000}"/>
    <cellStyle name="Comma 2 7 3" xfId="68" xr:uid="{00000000-0005-0000-0000-000015000000}"/>
    <cellStyle name="Explanatory Text" xfId="18" builtinId="53" customBuiltin="1"/>
    <cellStyle name="Good" xfId="8" builtinId="26" customBuiltin="1"/>
    <cellStyle name="Header" xfId="64" xr:uid="{00000000-0005-0000-0000-000016000000}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 customBuiltin="1"/>
    <cellStyle name="Normal 2 2" xfId="60" xr:uid="{00000000-0005-0000-0000-000017000000}"/>
    <cellStyle name="Normal_36.6 &amp; Veropharm model" xfId="61" xr:uid="{00000000-0005-0000-0000-000018000000}"/>
    <cellStyle name="Normal_Spring model for research" xfId="59" xr:uid="{00000000-0005-0000-0000-000019000000}"/>
    <cellStyle name="Note" xfId="17" builtinId="10" customBuiltin="1"/>
    <cellStyle name="Output" xfId="12" builtinId="21" customBuiltin="1"/>
    <cellStyle name="Percent" xfId="47" builtinId="5"/>
    <cellStyle name="Percent 2" xfId="62" xr:uid="{00000000-0005-0000-0000-00001A000000}"/>
    <cellStyle name="Title" xfId="3" builtinId="15" customBuiltin="1"/>
    <cellStyle name="Total" xfId="19" builtinId="25" customBuiltin="1"/>
    <cellStyle name="Warning Text" xfId="16" builtinId="11" customBuiltin="1"/>
    <cellStyle name="Гиперссылка 2" xfId="54" xr:uid="{00000000-0005-0000-0000-000025000000}"/>
    <cellStyle name="Обычный 10" xfId="53" xr:uid="{00000000-0005-0000-0000-00002F000000}"/>
    <cellStyle name="Обычный 2" xfId="44" xr:uid="{00000000-0005-0000-0000-000030000000}"/>
    <cellStyle name="Обычный 3" xfId="48" xr:uid="{00000000-0005-0000-0000-000031000000}"/>
    <cellStyle name="Обычный 4" xfId="51" xr:uid="{00000000-0005-0000-0000-000032000000}"/>
    <cellStyle name="Обычный 5" xfId="50" xr:uid="{00000000-0005-0000-0000-000033000000}"/>
    <cellStyle name="Обычный 6" xfId="49" xr:uid="{00000000-0005-0000-0000-000034000000}"/>
    <cellStyle name="Обычный 7" xfId="45" xr:uid="{00000000-0005-0000-0000-000035000000}"/>
    <cellStyle name="Обычный 8" xfId="46" xr:uid="{00000000-0005-0000-0000-000036000000}"/>
    <cellStyle name="Обычный 9" xfId="52" xr:uid="{00000000-0005-0000-0000-000037000000}"/>
    <cellStyle name="Обычный_Website accounts&amp;ratios" xfId="2" xr:uid="{00000000-0005-0000-0000-000038000000}"/>
    <cellStyle name="Примечание 2" xfId="55" xr:uid="{00000000-0005-0000-0000-00003C000000}"/>
    <cellStyle name="Процентный 2" xfId="56" xr:uid="{00000000-0005-0000-0000-00003E000000}"/>
    <cellStyle name="Финансовый 161" xfId="63" xr:uid="{00000000-0005-0000-0000-000042000000}"/>
    <cellStyle name="Финансовый 2" xfId="65" xr:uid="{00000000-0005-0000-0000-000043000000}"/>
    <cellStyle name="Финансовый 3" xfId="67" xr:uid="{00000000-0005-0000-0000-000044000000}"/>
  </cellStyles>
  <dxfs count="0"/>
  <tableStyles count="0" defaultTableStyle="TableStyleMedium9" defaultPivotStyle="PivotStyleLight16"/>
  <colors>
    <mruColors>
      <color rgb="FFCCFFCC"/>
      <color rgb="FF99FF99"/>
      <color rgb="FFD9D9D9"/>
      <color rgb="FFD5FFEA"/>
      <color rgb="FF99FFCC"/>
      <color rgb="FFFFE1FF"/>
      <color rgb="FFFFCCFF"/>
      <color rgb="FF00FF00"/>
      <color rgb="FFE0001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161925</xdr:rowOff>
    </xdr:from>
    <xdr:to>
      <xdr:col>3</xdr:col>
      <xdr:colOff>0</xdr:colOff>
      <xdr:row>2</xdr:row>
      <xdr:rowOff>66675</xdr:rowOff>
    </xdr:to>
    <xdr:pic>
      <xdr:nvPicPr>
        <xdr:cNvPr id="7" name="Рисунок 5" descr="cid:image006.png@01D4D42E.99E039A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61925"/>
          <a:ext cx="29622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2952750</xdr:colOff>
      <xdr:row>2</xdr:row>
      <xdr:rowOff>180975</xdr:rowOff>
    </xdr:from>
    <xdr:to>
      <xdr:col>1</xdr:col>
      <xdr:colOff>3886200</xdr:colOff>
      <xdr:row>3</xdr:row>
      <xdr:rowOff>228600</xdr:rowOff>
    </xdr:to>
    <xdr:sp macro="[0]!Translate_2" textlink="">
      <xdr:nvSpPr>
        <xdr:cNvPr id="2" name="Скругленный прямоугольник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79470" y="539115"/>
          <a:ext cx="933450" cy="17716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1" u="none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ENG</a:t>
          </a:r>
          <a:r>
            <a:rPr lang="en-US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↔ </a:t>
          </a:r>
          <a:r>
            <a:rPr lang="ru-RU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РУС</a:t>
          </a:r>
          <a:endParaRPr lang="ru-RU" sz="1000" b="1" i="1" u="none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2952750</xdr:colOff>
      <xdr:row>2</xdr:row>
      <xdr:rowOff>180975</xdr:rowOff>
    </xdr:from>
    <xdr:to>
      <xdr:col>1</xdr:col>
      <xdr:colOff>3886200</xdr:colOff>
      <xdr:row>3</xdr:row>
      <xdr:rowOff>228600</xdr:rowOff>
    </xdr:to>
    <xdr:sp macro="[0]!Translate_2" textlink="">
      <xdr:nvSpPr>
        <xdr:cNvPr id="6" name="Скругленный прямоугольник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381375" y="647700"/>
          <a:ext cx="933450" cy="2190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1" u="none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ENG</a:t>
          </a:r>
          <a:r>
            <a:rPr lang="en-US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↔ </a:t>
          </a:r>
          <a:r>
            <a:rPr lang="ru-RU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РУС</a:t>
          </a:r>
          <a:endParaRPr lang="ru-RU" sz="1000" b="1" i="1" u="none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2952750</xdr:colOff>
      <xdr:row>2</xdr:row>
      <xdr:rowOff>180975</xdr:rowOff>
    </xdr:from>
    <xdr:to>
      <xdr:col>1</xdr:col>
      <xdr:colOff>3886200</xdr:colOff>
      <xdr:row>3</xdr:row>
      <xdr:rowOff>228600</xdr:rowOff>
    </xdr:to>
    <xdr:sp macro="[0]!Translate_2" textlink="">
      <xdr:nvSpPr>
        <xdr:cNvPr id="3" name="Скругленный прямоугольник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81375" y="647700"/>
          <a:ext cx="933450" cy="2190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1" u="none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ENG</a:t>
          </a:r>
          <a:r>
            <a:rPr lang="en-US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↔ </a:t>
          </a:r>
          <a:r>
            <a:rPr lang="ru-RU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РУС</a:t>
          </a:r>
          <a:endParaRPr lang="ru-RU" sz="1000" b="1" i="1" u="none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gnit.com/en/shareholders-and-investors/analyst-coverage/" TargetMode="External"/><Relationship Id="rId2" Type="http://schemas.openxmlformats.org/officeDocument/2006/relationships/hyperlink" Target="mailto:%20magnitIR@magnit.ru?subject=Question%20on%20the%20Data%20Book" TargetMode="External"/><Relationship Id="rId1" Type="http://schemas.openxmlformats.org/officeDocument/2006/relationships/hyperlink" Target="https://www.magnit.com/e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gnit.com/en/shareholders-and-investors/investor-calenda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>
    <tabColor rgb="FFC00000"/>
  </sheetPr>
  <dimension ref="A1:G22"/>
  <sheetViews>
    <sheetView showGridLines="0" tabSelected="1" workbookViewId="0"/>
  </sheetViews>
  <sheetFormatPr defaultColWidth="9" defaultRowHeight="15.75"/>
  <cols>
    <col min="1" max="1" width="4.625" style="1" customWidth="1"/>
    <col min="2" max="2" width="25.125" style="1" customWidth="1"/>
    <col min="3" max="3" width="17" style="1" customWidth="1"/>
    <col min="4" max="4" width="24.25" style="1" customWidth="1"/>
    <col min="5" max="5" width="29.25" style="1" customWidth="1"/>
    <col min="7" max="7" width="21.375" style="1" customWidth="1"/>
    <col min="8" max="16384" width="9" style="1"/>
  </cols>
  <sheetData>
    <row r="1" spans="1:7" ht="18" customHeight="1"/>
    <row r="2" spans="1:7" ht="21">
      <c r="C2" s="102"/>
      <c r="D2" s="110"/>
      <c r="G2" s="111"/>
    </row>
    <row r="3" spans="1:7">
      <c r="B3" s="103"/>
      <c r="C3" s="104"/>
      <c r="D3" s="105"/>
    </row>
    <row r="4" spans="1:7" s="126" customFormat="1" ht="15">
      <c r="B4" s="126" t="s">
        <v>39</v>
      </c>
      <c r="C4" s="126" t="s">
        <v>55</v>
      </c>
      <c r="D4" s="126" t="s">
        <v>40</v>
      </c>
      <c r="E4" s="126" t="s">
        <v>48</v>
      </c>
    </row>
    <row r="5" spans="1:7">
      <c r="B5" s="106"/>
      <c r="C5" s="106"/>
      <c r="D5" s="106"/>
      <c r="E5" s="106"/>
      <c r="G5" s="106"/>
    </row>
    <row r="6" spans="1:7" s="1347" customFormat="1" ht="28.5" customHeight="1"/>
    <row r="8" spans="1:7" s="107" customFormat="1" ht="21">
      <c r="B8" s="108" t="s">
        <v>221</v>
      </c>
      <c r="C8" s="109"/>
      <c r="D8" s="113"/>
      <c r="E8" s="1348"/>
      <c r="G8" s="111"/>
    </row>
    <row r="9" spans="1:7" s="112" customFormat="1" ht="15">
      <c r="A9" s="118"/>
      <c r="B9" s="126" t="s">
        <v>175</v>
      </c>
      <c r="C9" s="126" t="s">
        <v>42</v>
      </c>
      <c r="D9" s="126" t="s">
        <v>179</v>
      </c>
      <c r="E9" s="126" t="s">
        <v>1082</v>
      </c>
      <c r="G9" s="114"/>
    </row>
    <row r="10" spans="1:7" s="112" customFormat="1" ht="15">
      <c r="A10" s="118"/>
      <c r="B10" s="126"/>
      <c r="C10" s="127"/>
      <c r="D10" s="126"/>
      <c r="E10" s="122"/>
      <c r="G10" s="115"/>
    </row>
    <row r="11" spans="1:7" s="112" customFormat="1" ht="15">
      <c r="A11" s="118"/>
      <c r="B11" s="126" t="s">
        <v>176</v>
      </c>
      <c r="C11" s="126" t="s">
        <v>178</v>
      </c>
      <c r="D11" s="126" t="s">
        <v>180</v>
      </c>
      <c r="E11" s="121"/>
      <c r="G11" s="114"/>
    </row>
    <row r="12" spans="1:7" s="112" customFormat="1" ht="15">
      <c r="A12" s="118"/>
      <c r="B12" s="126"/>
      <c r="C12" s="128"/>
      <c r="D12" s="126"/>
      <c r="E12" s="121"/>
      <c r="G12" s="115"/>
    </row>
    <row r="13" spans="1:7" s="112" customFormat="1" ht="15">
      <c r="A13" s="118"/>
      <c r="B13" s="126" t="s">
        <v>1128</v>
      </c>
      <c r="C13" s="126" t="s">
        <v>126</v>
      </c>
      <c r="D13" s="126" t="s">
        <v>119</v>
      </c>
      <c r="E13" s="123"/>
      <c r="G13" s="114"/>
    </row>
    <row r="14" spans="1:7" s="116" customFormat="1" ht="15">
      <c r="A14" s="119"/>
      <c r="B14" s="126"/>
      <c r="C14" s="126"/>
      <c r="D14" s="126"/>
      <c r="E14" s="124"/>
      <c r="G14" s="117"/>
    </row>
    <row r="15" spans="1:7" s="4" customFormat="1" ht="15">
      <c r="A15" s="120"/>
      <c r="B15" s="126" t="s">
        <v>177</v>
      </c>
      <c r="C15" s="126"/>
      <c r="D15" s="126" t="s">
        <v>120</v>
      </c>
      <c r="E15" s="125"/>
    </row>
    <row r="16" spans="1:7" s="4" customFormat="1" ht="15">
      <c r="A16" s="120"/>
      <c r="B16" s="126"/>
      <c r="C16" s="126"/>
      <c r="D16" s="126"/>
      <c r="E16" s="125"/>
    </row>
    <row r="17" spans="1:5" s="4" customFormat="1" ht="15">
      <c r="A17" s="120"/>
      <c r="B17" s="129"/>
      <c r="C17" s="130"/>
      <c r="E17" s="125"/>
    </row>
    <row r="18" spans="1:5" s="4" customFormat="1" ht="15">
      <c r="A18" s="120"/>
      <c r="B18" s="129"/>
      <c r="C18" s="130"/>
      <c r="D18" s="129"/>
      <c r="E18" s="125"/>
    </row>
    <row r="19" spans="1:5" s="4" customFormat="1" ht="15">
      <c r="A19" s="120"/>
      <c r="B19" s="129"/>
      <c r="C19" s="131"/>
      <c r="D19" s="129"/>
      <c r="E19" s="125"/>
    </row>
    <row r="20" spans="1:5" s="4" customFormat="1" ht="12.75"/>
    <row r="21" spans="1:5" s="4" customFormat="1" ht="12.75"/>
    <row r="22" spans="1:5" s="4" customFormat="1" ht="12.75"/>
  </sheetData>
  <hyperlinks>
    <hyperlink ref="B4" r:id="rId1" xr:uid="{00000000-0004-0000-0000-000000000000}"/>
    <hyperlink ref="D4" r:id="rId2" xr:uid="{00000000-0004-0000-0000-000001000000}"/>
    <hyperlink ref="E4" r:id="rId3" xr:uid="{00000000-0004-0000-0000-000002000000}"/>
    <hyperlink ref="C4" r:id="rId4" xr:uid="{00000000-0004-0000-0000-000003000000}"/>
    <hyperlink ref="B9" location="BS!A1" display="&gt;&gt; Balance Sheet" xr:uid="{00000000-0004-0000-0000-000004000000}"/>
    <hyperlink ref="B11" location="'P&amp;L'!A1" display="&gt;&gt; P&amp;L statement" xr:uid="{00000000-0004-0000-0000-000005000000}"/>
    <hyperlink ref="B15" location="CF!A1" display="&gt;&gt; Cash Flow Statement" xr:uid="{00000000-0004-0000-0000-000006000000}"/>
    <hyperlink ref="C9" location="'Debt '!A1" display="&gt;&gt; Debt" xr:uid="{00000000-0004-0000-0000-000007000000}"/>
    <hyperlink ref="C11" location="Bonds!A1" display="&gt;&gt; Bonds" xr:uid="{00000000-0004-0000-0000-000008000000}"/>
    <hyperlink ref="C13" location="'Ratings '!A1" display="&gt;&gt; Ratings" xr:uid="{00000000-0004-0000-0000-000009000000}"/>
    <hyperlink ref="D9" location="'Operating results'!A1" display="&gt;&gt; Operating results" xr:uid="{00000000-0004-0000-0000-00000A000000}"/>
    <hyperlink ref="D11" location="'Monthly operating data'!A1" display="&gt;&gt; Monthly operating data" xr:uid="{00000000-0004-0000-0000-00000B000000}"/>
    <hyperlink ref="D13" location="'Geographical coverage '!A1" display="&gt;&gt; Geographical coverage " xr:uid="{00000000-0004-0000-0000-00000C000000}"/>
    <hyperlink ref="D15" location="'Logistics coverage'!A1" display="&gt;&gt; Logistics coverage" xr:uid="{00000000-0004-0000-0000-00000D000000}"/>
    <hyperlink ref="E9" location="'Archive (old data book)'!A1" display="&gt;&gt; Arсhive (old data book)" xr:uid="{00000000-0004-0000-0000-00000E000000}"/>
    <hyperlink ref="B13" location="'P&amp;L quarterly'!A1" display="&gt;&gt; P&amp;L statement quarterly" xr:uid="{00000000-0004-0000-0000-00000F000000}"/>
  </hyperlinks>
  <pageMargins left="0.7" right="0.7" top="0.75" bottom="0.75" header="0.3" footer="0.3"/>
  <pageSetup paperSize="9"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47"/>
  <dimension ref="A1:AP112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.75" outlineLevelCol="1"/>
  <cols>
    <col min="1" max="1" width="5.625" style="4" customWidth="1"/>
    <col min="2" max="2" width="37.875" style="4" customWidth="1"/>
    <col min="3" max="8" width="8.25" style="71" hidden="1" customWidth="1" outlineLevel="1"/>
    <col min="9" max="10" width="8.25" style="4" hidden="1" customWidth="1" outlineLevel="1"/>
    <col min="11" max="11" width="8.25" style="4" hidden="1" customWidth="1" outlineLevel="1" collapsed="1"/>
    <col min="12" max="18" width="8.25" style="4" hidden="1" customWidth="1" outlineLevel="1"/>
    <col min="19" max="19" width="8.25" style="4" hidden="1" customWidth="1" outlineLevel="1" collapsed="1"/>
    <col min="20" max="29" width="8.25" style="4" hidden="1" customWidth="1" outlineLevel="1"/>
    <col min="30" max="30" width="9" style="4" hidden="1" customWidth="1" outlineLevel="1"/>
    <col min="31" max="31" width="8.25" style="4" customWidth="1" collapsed="1"/>
    <col min="32" max="38" width="8.25" style="4" customWidth="1"/>
    <col min="39" max="39" width="11.375" style="4" bestFit="1" customWidth="1"/>
    <col min="40" max="41" width="8.25" style="4" hidden="1" customWidth="1"/>
    <col min="42" max="16384" width="9" style="4"/>
  </cols>
  <sheetData>
    <row r="1" spans="2:42">
      <c r="C1" s="97"/>
    </row>
    <row r="2" spans="2:42" ht="18.75">
      <c r="B2" s="1370" t="s">
        <v>108</v>
      </c>
    </row>
    <row r="4" spans="2:42">
      <c r="B4" s="53" t="s">
        <v>41</v>
      </c>
      <c r="C4" s="4"/>
      <c r="D4" s="4"/>
      <c r="E4" s="4"/>
      <c r="F4" s="4"/>
      <c r="G4" s="4"/>
      <c r="H4" s="4"/>
    </row>
    <row r="5" spans="2:42">
      <c r="N5" s="1372"/>
      <c r="O5" s="1501"/>
      <c r="P5" s="1501"/>
      <c r="Q5" s="1501"/>
      <c r="R5" s="1501"/>
      <c r="S5" s="43"/>
      <c r="T5" s="43"/>
      <c r="U5" s="43"/>
      <c r="V5" s="1498"/>
      <c r="W5" s="1501"/>
      <c r="X5" s="1501"/>
      <c r="Y5" s="1501"/>
      <c r="Z5" s="1501"/>
      <c r="AA5" s="43"/>
      <c r="AB5" s="43"/>
      <c r="AC5" s="1498"/>
      <c r="AD5" s="1498"/>
      <c r="AE5" s="1501"/>
      <c r="AF5" s="1501"/>
      <c r="AG5" s="1501"/>
      <c r="AH5" s="1501"/>
      <c r="AI5" s="1501"/>
      <c r="AJ5" s="1501"/>
      <c r="AK5" s="1501"/>
      <c r="AL5" s="1501"/>
      <c r="AM5" s="1543"/>
      <c r="AN5" s="1501"/>
      <c r="AO5" s="1501"/>
    </row>
    <row r="6" spans="2:42" s="1360" customFormat="1">
      <c r="B6" s="1367"/>
      <c r="C6" s="1368">
        <v>2006</v>
      </c>
      <c r="D6" s="1368">
        <v>2007</v>
      </c>
      <c r="E6" s="1368">
        <v>2008</v>
      </c>
      <c r="F6" s="1368">
        <v>2009</v>
      </c>
      <c r="G6" s="1368">
        <v>2010</v>
      </c>
      <c r="H6" s="1368">
        <v>2011</v>
      </c>
      <c r="I6" s="1368">
        <v>2012</v>
      </c>
      <c r="J6" s="1368">
        <v>2013</v>
      </c>
      <c r="K6" s="1368">
        <v>2014</v>
      </c>
      <c r="L6" s="1368">
        <v>2015</v>
      </c>
      <c r="M6" s="1368">
        <v>2016</v>
      </c>
      <c r="N6" s="1368">
        <v>2017</v>
      </c>
      <c r="O6" s="1433" t="s">
        <v>209</v>
      </c>
      <c r="P6" s="1433" t="s">
        <v>210</v>
      </c>
      <c r="Q6" s="1433" t="s">
        <v>211</v>
      </c>
      <c r="R6" s="1433" t="s">
        <v>212</v>
      </c>
      <c r="S6" s="1441" t="s">
        <v>213</v>
      </c>
      <c r="T6" s="1442" t="s">
        <v>214</v>
      </c>
      <c r="U6" s="1442" t="s">
        <v>215</v>
      </c>
      <c r="V6" s="1443" t="s">
        <v>1129</v>
      </c>
      <c r="W6" s="1433" t="s">
        <v>1133</v>
      </c>
      <c r="X6" s="1433" t="s">
        <v>1134</v>
      </c>
      <c r="Y6" s="1433" t="s">
        <v>1137</v>
      </c>
      <c r="Z6" s="1433" t="s">
        <v>1138</v>
      </c>
      <c r="AA6" s="1445" t="s">
        <v>1141</v>
      </c>
      <c r="AB6" s="1446" t="s">
        <v>1142</v>
      </c>
      <c r="AC6" s="1446" t="s">
        <v>1160</v>
      </c>
      <c r="AD6" s="1443" t="s">
        <v>1163</v>
      </c>
      <c r="AE6" s="1516" t="s">
        <v>1177</v>
      </c>
      <c r="AF6" s="1433" t="s">
        <v>1178</v>
      </c>
      <c r="AG6" s="1433" t="s">
        <v>1179</v>
      </c>
      <c r="AH6" s="1517" t="s">
        <v>1180</v>
      </c>
      <c r="AI6" s="1434" t="s">
        <v>1191</v>
      </c>
      <c r="AJ6" s="1435" t="s">
        <v>1192</v>
      </c>
      <c r="AK6" s="1435" t="s">
        <v>1196</v>
      </c>
      <c r="AL6" s="1534" t="s">
        <v>1194</v>
      </c>
      <c r="AM6" s="1433" t="s">
        <v>1225</v>
      </c>
      <c r="AN6" s="1433" t="s">
        <v>1224</v>
      </c>
      <c r="AO6" s="1517" t="s">
        <v>1222</v>
      </c>
    </row>
    <row r="7" spans="2:42" s="43" customFormat="1">
      <c r="B7" s="94" t="s">
        <v>123</v>
      </c>
      <c r="C7" s="98">
        <v>1893</v>
      </c>
      <c r="D7" s="98">
        <v>2197</v>
      </c>
      <c r="E7" s="98">
        <v>2582</v>
      </c>
      <c r="F7" s="98">
        <v>3228</v>
      </c>
      <c r="G7" s="98">
        <v>4055</v>
      </c>
      <c r="H7" s="98">
        <v>5309</v>
      </c>
      <c r="I7" s="98">
        <v>6884</v>
      </c>
      <c r="J7" s="98">
        <v>8093</v>
      </c>
      <c r="K7" s="1338">
        <v>9711</v>
      </c>
      <c r="L7" s="1338">
        <v>12089</v>
      </c>
      <c r="M7" s="1338">
        <v>14059</v>
      </c>
      <c r="N7" s="1338">
        <v>16298</v>
      </c>
      <c r="O7" s="1453">
        <v>16575</v>
      </c>
      <c r="P7" s="1454">
        <v>16910</v>
      </c>
      <c r="Q7" s="1454">
        <v>17392</v>
      </c>
      <c r="R7" s="1455">
        <v>18348</v>
      </c>
      <c r="S7" s="1453">
        <v>19223</v>
      </c>
      <c r="T7" s="1454">
        <v>19884</v>
      </c>
      <c r="U7" s="1454">
        <v>20497</v>
      </c>
      <c r="V7" s="1455">
        <v>20725</v>
      </c>
      <c r="W7" s="1453">
        <v>20860</v>
      </c>
      <c r="X7" s="1454">
        <v>20894</v>
      </c>
      <c r="Y7" s="1454">
        <v>21154</v>
      </c>
      <c r="Z7" s="1455">
        <v>21564</v>
      </c>
      <c r="AA7" s="1338">
        <v>21900</v>
      </c>
      <c r="AB7" s="1338">
        <v>22344</v>
      </c>
      <c r="AC7" s="1454">
        <v>25315</v>
      </c>
      <c r="AD7" s="1454">
        <v>26077</v>
      </c>
      <c r="AE7" s="1453">
        <v>26605</v>
      </c>
      <c r="AF7" s="1454">
        <v>26731</v>
      </c>
      <c r="AG7" s="1454">
        <v>27059</v>
      </c>
      <c r="AH7" s="1455">
        <v>27405</v>
      </c>
      <c r="AI7" s="1453">
        <v>27909</v>
      </c>
      <c r="AJ7" s="1454">
        <v>28309</v>
      </c>
      <c r="AK7" s="1454">
        <v>28707</v>
      </c>
      <c r="AL7" s="1455">
        <v>29165</v>
      </c>
      <c r="AM7" s="1454">
        <v>30109</v>
      </c>
      <c r="AN7" s="1454"/>
      <c r="AO7" s="1455"/>
    </row>
    <row r="8" spans="2:42" s="40" customFormat="1">
      <c r="B8" s="91" t="s">
        <v>1231</v>
      </c>
      <c r="C8" s="15">
        <v>1893</v>
      </c>
      <c r="D8" s="15">
        <v>2194</v>
      </c>
      <c r="E8" s="15">
        <v>2568</v>
      </c>
      <c r="F8" s="15">
        <v>3204</v>
      </c>
      <c r="G8" s="15">
        <v>4002</v>
      </c>
      <c r="H8" s="15">
        <v>5006</v>
      </c>
      <c r="I8" s="15">
        <v>6046</v>
      </c>
      <c r="J8" s="15">
        <v>7200</v>
      </c>
      <c r="K8" s="15">
        <v>8344</v>
      </c>
      <c r="L8" s="15">
        <v>9594</v>
      </c>
      <c r="M8" s="15">
        <v>10521</v>
      </c>
      <c r="N8" s="15">
        <v>12125</v>
      </c>
      <c r="O8" s="1456">
        <v>12283</v>
      </c>
      <c r="P8" s="15">
        <v>12503</v>
      </c>
      <c r="Q8" s="15">
        <v>12813</v>
      </c>
      <c r="R8" s="1457">
        <v>13427</v>
      </c>
      <c r="S8" s="1494">
        <v>13909</v>
      </c>
      <c r="T8" s="1495">
        <v>14231</v>
      </c>
      <c r="U8" s="1495">
        <v>14507</v>
      </c>
      <c r="V8" s="1496">
        <v>14622</v>
      </c>
      <c r="W8" s="1494">
        <v>14594</v>
      </c>
      <c r="X8" s="1495">
        <v>14581</v>
      </c>
      <c r="Y8" s="1495">
        <v>14699</v>
      </c>
      <c r="Z8" s="1496">
        <v>14911</v>
      </c>
      <c r="AA8" s="1495">
        <v>15098</v>
      </c>
      <c r="AB8" s="1495">
        <v>15348</v>
      </c>
      <c r="AC8" s="1495">
        <v>15657</v>
      </c>
      <c r="AD8" s="43">
        <v>16190</v>
      </c>
      <c r="AE8" s="1494">
        <v>16620</v>
      </c>
      <c r="AF8" s="1495">
        <v>16748</v>
      </c>
      <c r="AG8" s="1495">
        <v>17139</v>
      </c>
      <c r="AH8" s="1496">
        <v>17416</v>
      </c>
      <c r="AI8" s="1494">
        <v>17787</v>
      </c>
      <c r="AJ8" s="1495">
        <v>18072</v>
      </c>
      <c r="AK8" s="1495">
        <v>18377</v>
      </c>
      <c r="AL8" s="1496">
        <v>18701</v>
      </c>
      <c r="AM8" s="1495">
        <v>19423</v>
      </c>
      <c r="AN8" s="1495"/>
      <c r="AO8" s="1496"/>
    </row>
    <row r="9" spans="2:42" s="40" customFormat="1">
      <c r="B9" s="91" t="s">
        <v>1233</v>
      </c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447"/>
      <c r="P9" s="1428"/>
      <c r="Q9" s="1428"/>
      <c r="R9" s="1448"/>
      <c r="S9" s="1491" t="s">
        <v>100</v>
      </c>
      <c r="T9" s="1492" t="s">
        <v>100</v>
      </c>
      <c r="U9" s="1492" t="s">
        <v>100</v>
      </c>
      <c r="V9" s="1493" t="s">
        <v>100</v>
      </c>
      <c r="W9" s="1491" t="s">
        <v>100</v>
      </c>
      <c r="X9" s="1492" t="s">
        <v>100</v>
      </c>
      <c r="Y9" s="1492" t="s">
        <v>100</v>
      </c>
      <c r="Z9" s="1493" t="s">
        <v>100</v>
      </c>
      <c r="AA9" s="1492" t="s">
        <v>100</v>
      </c>
      <c r="AB9" s="1492" t="s">
        <v>100</v>
      </c>
      <c r="AC9" s="48">
        <v>2438</v>
      </c>
      <c r="AD9" s="4">
        <v>2412</v>
      </c>
      <c r="AE9" s="1518">
        <v>2333</v>
      </c>
      <c r="AF9" s="1514">
        <v>2326</v>
      </c>
      <c r="AG9" s="1514">
        <v>2208</v>
      </c>
      <c r="AH9" s="1519">
        <v>2208</v>
      </c>
      <c r="AI9" s="1518">
        <v>2207</v>
      </c>
      <c r="AJ9" s="1514">
        <v>2213</v>
      </c>
      <c r="AK9" s="1514">
        <v>2219</v>
      </c>
      <c r="AL9" s="1519">
        <v>2235</v>
      </c>
      <c r="AM9" s="1514">
        <v>2274</v>
      </c>
      <c r="AN9" s="1514"/>
      <c r="AO9" s="1519"/>
    </row>
    <row r="10" spans="2:42" s="40" customFormat="1">
      <c r="B10" s="91" t="s">
        <v>1232</v>
      </c>
      <c r="C10" s="13">
        <v>0</v>
      </c>
      <c r="D10" s="15">
        <v>3</v>
      </c>
      <c r="E10" s="15">
        <v>14</v>
      </c>
      <c r="F10" s="15">
        <v>24</v>
      </c>
      <c r="G10" s="15">
        <v>50</v>
      </c>
      <c r="H10" s="15">
        <v>90</v>
      </c>
      <c r="I10" s="15">
        <v>126</v>
      </c>
      <c r="J10" s="15">
        <v>161</v>
      </c>
      <c r="K10" s="15">
        <v>287</v>
      </c>
      <c r="L10" s="15">
        <v>374</v>
      </c>
      <c r="M10" s="15">
        <v>431</v>
      </c>
      <c r="N10" s="15">
        <v>451</v>
      </c>
      <c r="O10" s="1456">
        <v>452</v>
      </c>
      <c r="P10" s="15">
        <v>457</v>
      </c>
      <c r="Q10" s="15">
        <v>457</v>
      </c>
      <c r="R10" s="1457">
        <v>467</v>
      </c>
      <c r="S10" s="1494">
        <v>467</v>
      </c>
      <c r="T10" s="1495">
        <v>466</v>
      </c>
      <c r="U10" s="1495">
        <v>467</v>
      </c>
      <c r="V10" s="1496">
        <v>473</v>
      </c>
      <c r="W10" s="1494">
        <v>472</v>
      </c>
      <c r="X10" s="1495">
        <v>472</v>
      </c>
      <c r="Y10" s="1495">
        <v>469</v>
      </c>
      <c r="Z10" s="1496">
        <v>470</v>
      </c>
      <c r="AA10" s="1495">
        <v>471</v>
      </c>
      <c r="AB10" s="1495">
        <v>469</v>
      </c>
      <c r="AC10" s="1495">
        <v>467</v>
      </c>
      <c r="AD10" s="43">
        <v>470</v>
      </c>
      <c r="AE10" s="1494">
        <v>468</v>
      </c>
      <c r="AF10" s="1495">
        <v>467</v>
      </c>
      <c r="AG10" s="1495">
        <v>493</v>
      </c>
      <c r="AH10" s="1496">
        <v>493</v>
      </c>
      <c r="AI10" s="1494">
        <v>492</v>
      </c>
      <c r="AJ10" s="1495">
        <v>490</v>
      </c>
      <c r="AK10" s="1495">
        <v>488</v>
      </c>
      <c r="AL10" s="1496">
        <v>489</v>
      </c>
      <c r="AM10" s="1495">
        <v>481</v>
      </c>
      <c r="AN10" s="1495"/>
      <c r="AO10" s="1496"/>
    </row>
    <row r="11" spans="2:42" s="40" customFormat="1">
      <c r="B11" s="92" t="s">
        <v>198</v>
      </c>
      <c r="C11" s="13">
        <v>0</v>
      </c>
      <c r="D11" s="13">
        <v>0</v>
      </c>
      <c r="E11" s="13">
        <v>0</v>
      </c>
      <c r="F11" s="13">
        <v>0</v>
      </c>
      <c r="G11" s="15">
        <v>1</v>
      </c>
      <c r="H11" s="15">
        <v>3</v>
      </c>
      <c r="I11" s="15">
        <v>20</v>
      </c>
      <c r="J11" s="15">
        <v>46</v>
      </c>
      <c r="K11" s="15">
        <v>1080</v>
      </c>
      <c r="L11" s="15">
        <v>2121</v>
      </c>
      <c r="M11" s="15">
        <v>3107</v>
      </c>
      <c r="N11" s="15">
        <v>3722</v>
      </c>
      <c r="O11" s="1456">
        <v>3840</v>
      </c>
      <c r="P11" s="15">
        <v>3950</v>
      </c>
      <c r="Q11" s="15">
        <v>4122</v>
      </c>
      <c r="R11" s="1457">
        <v>4454</v>
      </c>
      <c r="S11" s="1494">
        <v>4847</v>
      </c>
      <c r="T11" s="1495">
        <v>5187</v>
      </c>
      <c r="U11" s="1495">
        <v>5523</v>
      </c>
      <c r="V11" s="1496">
        <v>5630</v>
      </c>
      <c r="W11" s="1494">
        <v>5794</v>
      </c>
      <c r="X11" s="1495">
        <v>5841</v>
      </c>
      <c r="Y11" s="1495">
        <v>5986</v>
      </c>
      <c r="Z11" s="1496">
        <v>6183</v>
      </c>
      <c r="AA11" s="1495">
        <v>6331</v>
      </c>
      <c r="AB11" s="1495">
        <v>6527</v>
      </c>
      <c r="AC11" s="1495">
        <v>6714</v>
      </c>
      <c r="AD11" s="43">
        <v>6966</v>
      </c>
      <c r="AE11" s="1494">
        <v>7146</v>
      </c>
      <c r="AF11" s="1495">
        <v>7161</v>
      </c>
      <c r="AG11" s="1495">
        <v>7219</v>
      </c>
      <c r="AH11" s="1496">
        <v>7288</v>
      </c>
      <c r="AI11" s="1494">
        <v>7423</v>
      </c>
      <c r="AJ11" s="1495">
        <v>7534</v>
      </c>
      <c r="AK11" s="1495">
        <v>7623</v>
      </c>
      <c r="AL11" s="1496">
        <v>7740</v>
      </c>
      <c r="AM11" s="1495">
        <v>7931</v>
      </c>
      <c r="AN11" s="1495"/>
      <c r="AO11" s="1496"/>
    </row>
    <row r="12" spans="2:42" s="40" customFormat="1">
      <c r="B12" s="14"/>
      <c r="C12" s="13"/>
      <c r="D12" s="13"/>
      <c r="E12" s="13"/>
      <c r="F12" s="13"/>
      <c r="G12" s="13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495"/>
      <c r="T12" s="1495"/>
      <c r="U12" s="1495"/>
      <c r="V12" s="1495"/>
      <c r="W12" s="1495"/>
      <c r="X12" s="1495"/>
      <c r="Y12" s="1495"/>
      <c r="Z12" s="1495"/>
      <c r="AA12" s="1495"/>
      <c r="AB12" s="1495"/>
      <c r="AC12" s="1495"/>
      <c r="AD12" s="4"/>
      <c r="AE12" s="1495"/>
      <c r="AF12" s="1495"/>
      <c r="AG12" s="1495"/>
      <c r="AH12" s="1495"/>
      <c r="AI12" s="1495"/>
      <c r="AJ12" s="1495"/>
      <c r="AK12" s="1495"/>
      <c r="AL12" s="1495"/>
      <c r="AM12" s="1495"/>
      <c r="AN12" s="1495"/>
      <c r="AO12" s="1495"/>
    </row>
    <row r="13" spans="2:42" s="40" customFormat="1">
      <c r="B13" s="94" t="s">
        <v>1246</v>
      </c>
      <c r="C13" s="16"/>
      <c r="D13" s="16"/>
      <c r="E13" s="16"/>
      <c r="F13" s="16"/>
      <c r="G13" s="16"/>
      <c r="H13" s="1403"/>
      <c r="I13" s="1403"/>
      <c r="J13" s="1403"/>
      <c r="S13" s="4" t="s">
        <v>1159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 t="s">
        <v>1203</v>
      </c>
    </row>
    <row r="14" spans="2:42" s="40" customFormat="1">
      <c r="B14" s="14" t="s">
        <v>1116</v>
      </c>
      <c r="C14" s="17">
        <v>458</v>
      </c>
      <c r="D14" s="17">
        <v>543</v>
      </c>
      <c r="E14" s="17">
        <v>642</v>
      </c>
      <c r="F14" s="17">
        <v>799</v>
      </c>
      <c r="G14" s="17">
        <v>936</v>
      </c>
      <c r="H14" s="17">
        <v>1216</v>
      </c>
      <c r="I14" s="17">
        <v>1607</v>
      </c>
      <c r="J14" s="17">
        <v>1997</v>
      </c>
      <c r="K14" s="40">
        <v>2466</v>
      </c>
      <c r="L14" s="40">
        <v>3163</v>
      </c>
      <c r="M14" s="40">
        <v>3744</v>
      </c>
      <c r="N14" s="40">
        <v>4510</v>
      </c>
      <c r="O14" s="1458">
        <v>4591</v>
      </c>
      <c r="P14" s="40">
        <v>4706</v>
      </c>
      <c r="Q14" s="40">
        <v>4848</v>
      </c>
      <c r="R14" s="1459">
        <v>5168</v>
      </c>
      <c r="S14" s="1460">
        <v>5420</v>
      </c>
      <c r="T14" s="4">
        <v>5594</v>
      </c>
      <c r="U14" s="4">
        <v>5751</v>
      </c>
      <c r="V14" s="1461">
        <v>5794</v>
      </c>
      <c r="W14" s="1460">
        <v>5783</v>
      </c>
      <c r="X14" s="4">
        <v>5753</v>
      </c>
      <c r="Y14" s="4">
        <v>5783</v>
      </c>
      <c r="Z14" s="1461">
        <v>5857</v>
      </c>
      <c r="AA14" s="4">
        <v>5899</v>
      </c>
      <c r="AB14" s="4">
        <v>5981</v>
      </c>
      <c r="AC14" s="4">
        <v>7846</v>
      </c>
      <c r="AD14" s="4">
        <v>8019</v>
      </c>
      <c r="AE14" s="1460">
        <v>8141</v>
      </c>
      <c r="AF14" s="4">
        <v>8152</v>
      </c>
      <c r="AG14" s="4">
        <v>8226</v>
      </c>
      <c r="AH14" s="1461">
        <v>8299</v>
      </c>
      <c r="AI14" s="1460">
        <v>8423</v>
      </c>
      <c r="AJ14" s="4">
        <v>8515</v>
      </c>
      <c r="AK14" s="4">
        <v>8632</v>
      </c>
      <c r="AL14" s="1461">
        <v>8762</v>
      </c>
      <c r="AM14" s="4">
        <v>9013</v>
      </c>
      <c r="AN14" s="4"/>
      <c r="AO14" s="1461"/>
    </row>
    <row r="15" spans="2:42" s="40" customFormat="1">
      <c r="B15" s="14" t="s">
        <v>1117</v>
      </c>
      <c r="C15" s="17">
        <v>84</v>
      </c>
      <c r="D15" s="17">
        <v>89</v>
      </c>
      <c r="E15" s="17">
        <v>116</v>
      </c>
      <c r="F15" s="17">
        <v>161</v>
      </c>
      <c r="G15" s="17">
        <v>217</v>
      </c>
      <c r="H15" s="17">
        <v>348</v>
      </c>
      <c r="I15" s="17">
        <v>504</v>
      </c>
      <c r="J15" s="17">
        <v>671</v>
      </c>
      <c r="K15" s="40">
        <v>870</v>
      </c>
      <c r="L15" s="40">
        <v>1166</v>
      </c>
      <c r="M15" s="40">
        <v>1389</v>
      </c>
      <c r="N15" s="40">
        <v>1585</v>
      </c>
      <c r="O15" s="1458">
        <v>1607</v>
      </c>
      <c r="P15" s="40">
        <v>1628</v>
      </c>
      <c r="Q15" s="40">
        <v>1661</v>
      </c>
      <c r="R15" s="1459">
        <v>1734</v>
      </c>
      <c r="S15" s="1460">
        <v>1833</v>
      </c>
      <c r="T15" s="4">
        <v>1935</v>
      </c>
      <c r="U15" s="4">
        <v>2027</v>
      </c>
      <c r="V15" s="1461">
        <v>2103</v>
      </c>
      <c r="W15" s="1460">
        <v>2161</v>
      </c>
      <c r="X15" s="4">
        <v>2193</v>
      </c>
      <c r="Y15" s="4">
        <v>2243</v>
      </c>
      <c r="Z15" s="1461">
        <v>2323</v>
      </c>
      <c r="AA15" s="4">
        <v>2380</v>
      </c>
      <c r="AB15" s="4">
        <v>2435</v>
      </c>
      <c r="AC15" s="4">
        <v>3084</v>
      </c>
      <c r="AD15" s="4">
        <v>3161</v>
      </c>
      <c r="AE15" s="1460">
        <v>3199</v>
      </c>
      <c r="AF15" s="4">
        <v>3213</v>
      </c>
      <c r="AG15" s="4">
        <v>3210</v>
      </c>
      <c r="AH15" s="1461">
        <v>3268</v>
      </c>
      <c r="AI15" s="1460">
        <v>3318</v>
      </c>
      <c r="AJ15" s="4">
        <v>3344</v>
      </c>
      <c r="AK15" s="4">
        <v>3382</v>
      </c>
      <c r="AL15" s="1461">
        <v>3419</v>
      </c>
      <c r="AM15" s="4">
        <v>3516</v>
      </c>
      <c r="AN15" s="4"/>
      <c r="AO15" s="1461"/>
    </row>
    <row r="16" spans="2:42" s="40" customFormat="1">
      <c r="B16" s="14" t="s">
        <v>1118</v>
      </c>
      <c r="C16" s="17">
        <v>665</v>
      </c>
      <c r="D16" s="17">
        <v>748</v>
      </c>
      <c r="E16" s="17">
        <v>842</v>
      </c>
      <c r="F16" s="17">
        <v>954</v>
      </c>
      <c r="G16" s="17">
        <v>1107</v>
      </c>
      <c r="H16" s="17">
        <v>1301</v>
      </c>
      <c r="I16" s="17">
        <v>1532</v>
      </c>
      <c r="J16" s="17">
        <v>1670</v>
      </c>
      <c r="K16" s="40">
        <v>1876</v>
      </c>
      <c r="L16" s="40">
        <v>2196</v>
      </c>
      <c r="M16" s="40">
        <v>2414</v>
      </c>
      <c r="N16" s="40">
        <v>2618</v>
      </c>
      <c r="O16" s="1458">
        <v>2668</v>
      </c>
      <c r="P16" s="40">
        <v>2721</v>
      </c>
      <c r="Q16" s="40">
        <v>2807</v>
      </c>
      <c r="R16" s="1459">
        <v>2934</v>
      </c>
      <c r="S16" s="1460">
        <v>3054</v>
      </c>
      <c r="T16" s="4">
        <v>3147</v>
      </c>
      <c r="U16" s="4">
        <v>3249</v>
      </c>
      <c r="V16" s="1461">
        <v>3304</v>
      </c>
      <c r="W16" s="1460">
        <v>3370</v>
      </c>
      <c r="X16" s="4">
        <v>3400</v>
      </c>
      <c r="Y16" s="4">
        <v>3470</v>
      </c>
      <c r="Z16" s="1461">
        <v>3548</v>
      </c>
      <c r="AA16" s="4">
        <v>3628</v>
      </c>
      <c r="AB16" s="4">
        <v>3711</v>
      </c>
      <c r="AC16" s="4">
        <v>3795</v>
      </c>
      <c r="AD16" s="4">
        <v>3937</v>
      </c>
      <c r="AE16" s="1460">
        <v>4035</v>
      </c>
      <c r="AF16" s="4">
        <v>4051</v>
      </c>
      <c r="AG16" s="4">
        <v>4115</v>
      </c>
      <c r="AH16" s="1461">
        <v>4158</v>
      </c>
      <c r="AI16" s="1460">
        <v>4233</v>
      </c>
      <c r="AJ16" s="4">
        <v>4282</v>
      </c>
      <c r="AK16" s="4">
        <v>4334</v>
      </c>
      <c r="AL16" s="1461">
        <v>4390</v>
      </c>
      <c r="AM16" s="4">
        <v>4504</v>
      </c>
      <c r="AN16" s="4"/>
      <c r="AO16" s="1461"/>
    </row>
    <row r="17" spans="2:41" s="40" customFormat="1">
      <c r="B17" s="14" t="s">
        <v>1119</v>
      </c>
      <c r="C17" s="17">
        <v>120</v>
      </c>
      <c r="D17" s="17">
        <v>144</v>
      </c>
      <c r="E17" s="17">
        <v>171</v>
      </c>
      <c r="F17" s="17">
        <v>214</v>
      </c>
      <c r="G17" s="17">
        <v>263</v>
      </c>
      <c r="H17" s="17">
        <v>302</v>
      </c>
      <c r="I17" s="17">
        <v>375</v>
      </c>
      <c r="J17" s="17">
        <v>379</v>
      </c>
      <c r="K17" s="40">
        <v>397</v>
      </c>
      <c r="L17" s="40">
        <v>451</v>
      </c>
      <c r="M17" s="40">
        <v>497</v>
      </c>
      <c r="N17" s="40">
        <v>530</v>
      </c>
      <c r="O17" s="1458">
        <v>528</v>
      </c>
      <c r="P17" s="40">
        <v>536</v>
      </c>
      <c r="Q17" s="40">
        <v>556</v>
      </c>
      <c r="R17" s="1459">
        <v>583</v>
      </c>
      <c r="S17" s="1460">
        <v>594</v>
      </c>
      <c r="T17" s="4">
        <v>597</v>
      </c>
      <c r="U17" s="4">
        <v>614</v>
      </c>
      <c r="V17" s="1461">
        <v>617</v>
      </c>
      <c r="W17" s="1460">
        <v>623</v>
      </c>
      <c r="X17" s="4">
        <v>626</v>
      </c>
      <c r="Y17" s="4">
        <v>636</v>
      </c>
      <c r="Z17" s="1461">
        <v>653</v>
      </c>
      <c r="AA17" s="4">
        <v>658</v>
      </c>
      <c r="AB17" s="4">
        <v>670</v>
      </c>
      <c r="AC17" s="4">
        <v>696</v>
      </c>
      <c r="AD17" s="4">
        <v>736</v>
      </c>
      <c r="AE17" s="1460">
        <v>758</v>
      </c>
      <c r="AF17" s="4">
        <v>759</v>
      </c>
      <c r="AG17" s="4">
        <v>784</v>
      </c>
      <c r="AH17" s="1461">
        <v>792</v>
      </c>
      <c r="AI17" s="1460">
        <v>817</v>
      </c>
      <c r="AJ17" s="4">
        <v>840</v>
      </c>
      <c r="AK17" s="4">
        <v>860</v>
      </c>
      <c r="AL17" s="1461">
        <v>894</v>
      </c>
      <c r="AM17" s="4">
        <v>935</v>
      </c>
      <c r="AN17" s="4"/>
      <c r="AO17" s="1461"/>
    </row>
    <row r="18" spans="2:41" s="40" customFormat="1">
      <c r="B18" s="14" t="s">
        <v>1120</v>
      </c>
      <c r="C18" s="17">
        <v>0</v>
      </c>
      <c r="D18" s="17">
        <v>0</v>
      </c>
      <c r="E18" s="17">
        <v>0</v>
      </c>
      <c r="F18" s="17">
        <v>0</v>
      </c>
      <c r="G18" s="17">
        <v>21</v>
      </c>
      <c r="H18" s="17">
        <v>57</v>
      </c>
      <c r="I18" s="17">
        <v>90</v>
      </c>
      <c r="J18" s="17">
        <v>120</v>
      </c>
      <c r="K18" s="40">
        <v>248</v>
      </c>
      <c r="L18" s="40">
        <v>428</v>
      </c>
      <c r="M18" s="40">
        <v>586</v>
      </c>
      <c r="N18" s="40">
        <v>763</v>
      </c>
      <c r="O18" s="1458">
        <v>788</v>
      </c>
      <c r="P18" s="40">
        <v>819</v>
      </c>
      <c r="Q18" s="40">
        <v>871</v>
      </c>
      <c r="R18" s="1459">
        <v>950</v>
      </c>
      <c r="S18" s="1460">
        <v>1024</v>
      </c>
      <c r="T18" s="4">
        <v>1095</v>
      </c>
      <c r="U18" s="4">
        <v>1168</v>
      </c>
      <c r="V18" s="1461">
        <v>1215</v>
      </c>
      <c r="W18" s="1460">
        <v>1208</v>
      </c>
      <c r="X18" s="4">
        <v>1219</v>
      </c>
      <c r="Y18" s="4">
        <v>1233</v>
      </c>
      <c r="Z18" s="1461">
        <v>1271</v>
      </c>
      <c r="AA18" s="4">
        <v>1290</v>
      </c>
      <c r="AB18" s="4">
        <v>1336</v>
      </c>
      <c r="AC18" s="4">
        <v>1381</v>
      </c>
      <c r="AD18" s="4">
        <v>1465</v>
      </c>
      <c r="AE18" s="1460">
        <v>1519</v>
      </c>
      <c r="AF18" s="4">
        <v>1527</v>
      </c>
      <c r="AG18" s="4">
        <v>1556</v>
      </c>
      <c r="AH18" s="1461">
        <v>1592</v>
      </c>
      <c r="AI18" s="1460">
        <v>1642</v>
      </c>
      <c r="AJ18" s="4">
        <v>1686</v>
      </c>
      <c r="AK18" s="4">
        <v>1725</v>
      </c>
      <c r="AL18" s="1461">
        <v>1781</v>
      </c>
      <c r="AM18" s="4">
        <v>1883</v>
      </c>
      <c r="AN18" s="4"/>
      <c r="AO18" s="1461"/>
    </row>
    <row r="19" spans="2:41" s="40" customFormat="1">
      <c r="B19" s="14" t="s">
        <v>1121</v>
      </c>
      <c r="C19" s="17">
        <v>26</v>
      </c>
      <c r="D19" s="17">
        <v>38</v>
      </c>
      <c r="E19" s="17">
        <v>67</v>
      </c>
      <c r="F19" s="17">
        <v>139</v>
      </c>
      <c r="G19" s="17">
        <v>238</v>
      </c>
      <c r="H19" s="17">
        <v>364</v>
      </c>
      <c r="I19" s="17">
        <v>549</v>
      </c>
      <c r="J19" s="17">
        <v>670</v>
      </c>
      <c r="K19" s="40">
        <v>836</v>
      </c>
      <c r="L19" s="40">
        <v>1105</v>
      </c>
      <c r="M19" s="40">
        <v>1311</v>
      </c>
      <c r="N19" s="40">
        <v>1636</v>
      </c>
      <c r="O19" s="1458">
        <v>1677</v>
      </c>
      <c r="P19" s="40">
        <v>1712</v>
      </c>
      <c r="Q19" s="40">
        <v>1794</v>
      </c>
      <c r="R19" s="1459">
        <v>1906</v>
      </c>
      <c r="S19" s="1460">
        <v>2025</v>
      </c>
      <c r="T19" s="4">
        <v>2097</v>
      </c>
      <c r="U19" s="4">
        <v>2142</v>
      </c>
      <c r="V19" s="1461">
        <v>2135</v>
      </c>
      <c r="W19" s="1460">
        <v>2144</v>
      </c>
      <c r="X19" s="4">
        <v>2148</v>
      </c>
      <c r="Y19" s="4">
        <v>2175</v>
      </c>
      <c r="Z19" s="1461">
        <v>2211</v>
      </c>
      <c r="AA19" s="4">
        <v>2269</v>
      </c>
      <c r="AB19" s="4">
        <v>2323</v>
      </c>
      <c r="AC19" s="4">
        <v>2509</v>
      </c>
      <c r="AD19" s="4">
        <v>2568</v>
      </c>
      <c r="AE19" s="1460">
        <v>2607</v>
      </c>
      <c r="AF19" s="4">
        <v>2622</v>
      </c>
      <c r="AG19" s="4">
        <v>2673</v>
      </c>
      <c r="AH19" s="1461">
        <v>2720</v>
      </c>
      <c r="AI19" s="1460">
        <v>2781</v>
      </c>
      <c r="AJ19" s="4">
        <v>2840</v>
      </c>
      <c r="AK19" s="4">
        <v>2881</v>
      </c>
      <c r="AL19" s="1461">
        <v>2913</v>
      </c>
      <c r="AM19" s="4">
        <v>3010</v>
      </c>
      <c r="AN19" s="4"/>
      <c r="AO19" s="1461"/>
    </row>
    <row r="20" spans="2:41" s="40" customFormat="1">
      <c r="B20" s="14" t="s">
        <v>1122</v>
      </c>
      <c r="C20" s="17">
        <v>540</v>
      </c>
      <c r="D20" s="17">
        <v>635</v>
      </c>
      <c r="E20" s="17">
        <v>744</v>
      </c>
      <c r="F20" s="17">
        <v>961</v>
      </c>
      <c r="G20" s="17">
        <v>1273</v>
      </c>
      <c r="H20" s="17">
        <v>1721</v>
      </c>
      <c r="I20" s="17">
        <v>2227</v>
      </c>
      <c r="J20" s="17">
        <v>2586</v>
      </c>
      <c r="K20" s="40">
        <v>3018</v>
      </c>
      <c r="L20" s="40">
        <v>3580</v>
      </c>
      <c r="M20" s="40">
        <v>4118</v>
      </c>
      <c r="N20" s="40">
        <v>4656</v>
      </c>
      <c r="O20" s="1458">
        <v>4716</v>
      </c>
      <c r="P20" s="40">
        <v>4788</v>
      </c>
      <c r="Q20" s="40">
        <v>4855</v>
      </c>
      <c r="R20" s="1459">
        <v>5073</v>
      </c>
      <c r="S20" s="1460">
        <v>5273</v>
      </c>
      <c r="T20" s="4">
        <v>5419</v>
      </c>
      <c r="U20" s="4">
        <v>5546</v>
      </c>
      <c r="V20" s="1461">
        <v>5557</v>
      </c>
      <c r="W20" s="1460">
        <v>5571</v>
      </c>
      <c r="X20" s="4">
        <v>5555</v>
      </c>
      <c r="Y20" s="4">
        <v>5614</v>
      </c>
      <c r="Z20" s="1461">
        <v>5701</v>
      </c>
      <c r="AA20" s="4">
        <v>5776</v>
      </c>
      <c r="AB20" s="4">
        <v>5888</v>
      </c>
      <c r="AC20" s="4">
        <v>6004</v>
      </c>
      <c r="AD20" s="4">
        <v>6191</v>
      </c>
      <c r="AE20" s="1460">
        <v>6346</v>
      </c>
      <c r="AF20" s="4">
        <v>6402</v>
      </c>
      <c r="AG20" s="4">
        <v>6488</v>
      </c>
      <c r="AH20" s="1461">
        <v>6564</v>
      </c>
      <c r="AI20" s="1460">
        <v>6677</v>
      </c>
      <c r="AJ20" s="4">
        <v>6774</v>
      </c>
      <c r="AK20" s="4">
        <v>6853</v>
      </c>
      <c r="AL20" s="1461">
        <v>6936</v>
      </c>
      <c r="AM20" s="4">
        <v>7142</v>
      </c>
      <c r="AN20" s="4"/>
      <c r="AO20" s="1461"/>
    </row>
    <row r="21" spans="2:41">
      <c r="B21" s="94" t="s">
        <v>1247</v>
      </c>
      <c r="C21" s="32"/>
      <c r="D21" s="32"/>
      <c r="E21" s="32"/>
      <c r="F21" s="32"/>
      <c r="G21" s="32"/>
      <c r="H21" s="32"/>
      <c r="I21" s="32"/>
      <c r="J21" s="32"/>
      <c r="K21" s="32"/>
    </row>
    <row r="22" spans="2:41">
      <c r="B22" s="14" t="s">
        <v>1116</v>
      </c>
      <c r="C22" s="18">
        <f>C14/C$7</f>
        <v>0.24194400422609613</v>
      </c>
      <c r="D22" s="18">
        <f t="shared" ref="D22:AM22" si="0">D14/D$7</f>
        <v>0.24715521165225307</v>
      </c>
      <c r="E22" s="18">
        <f t="shared" si="0"/>
        <v>0.24864446165762974</v>
      </c>
      <c r="F22" s="18">
        <f t="shared" si="0"/>
        <v>0.24752168525402726</v>
      </c>
      <c r="G22" s="18">
        <f t="shared" si="0"/>
        <v>0.23082614056720099</v>
      </c>
      <c r="H22" s="18">
        <f t="shared" si="0"/>
        <v>0.22904501789414203</v>
      </c>
      <c r="I22" s="18">
        <f t="shared" si="0"/>
        <v>0.23343986054619406</v>
      </c>
      <c r="J22" s="18">
        <f t="shared" si="0"/>
        <v>0.24675645619671321</v>
      </c>
      <c r="K22" s="18">
        <f t="shared" si="0"/>
        <v>0.25393883225208524</v>
      </c>
      <c r="L22" s="18">
        <f t="shared" si="0"/>
        <v>0.26164281578294318</v>
      </c>
      <c r="M22" s="18">
        <f t="shared" si="0"/>
        <v>0.26630628067430118</v>
      </c>
      <c r="N22" s="18">
        <f t="shared" si="0"/>
        <v>0.27672107006994723</v>
      </c>
      <c r="O22" s="1462">
        <f t="shared" si="0"/>
        <v>0.27698340874811461</v>
      </c>
      <c r="P22" s="18">
        <f t="shared" si="0"/>
        <v>0.27829686575990537</v>
      </c>
      <c r="Q22" s="18">
        <f t="shared" si="0"/>
        <v>0.27874885004599814</v>
      </c>
      <c r="R22" s="1463">
        <f t="shared" si="0"/>
        <v>0.2816655766296054</v>
      </c>
      <c r="S22" s="1462">
        <f t="shared" si="0"/>
        <v>0.2819539093793893</v>
      </c>
      <c r="T22" s="18">
        <f t="shared" si="0"/>
        <v>0.28133172399919532</v>
      </c>
      <c r="U22" s="18">
        <f t="shared" si="0"/>
        <v>0.28057764550909892</v>
      </c>
      <c r="V22" s="1463">
        <f t="shared" si="0"/>
        <v>0.27956574185765981</v>
      </c>
      <c r="W22" s="1462">
        <f t="shared" si="0"/>
        <v>0.27722914669223392</v>
      </c>
      <c r="X22" s="18">
        <f t="shared" si="0"/>
        <v>0.27534220350339811</v>
      </c>
      <c r="Y22" s="18">
        <f t="shared" si="0"/>
        <v>0.27337619362768273</v>
      </c>
      <c r="Z22" s="1463">
        <f t="shared" si="0"/>
        <v>0.27161009089222776</v>
      </c>
      <c r="AA22" s="18">
        <f t="shared" si="0"/>
        <v>0.26936073059360732</v>
      </c>
      <c r="AB22" s="18">
        <f t="shared" si="0"/>
        <v>0.26767812388113138</v>
      </c>
      <c r="AC22" s="18">
        <f t="shared" si="0"/>
        <v>0.30993482125222199</v>
      </c>
      <c r="AD22" s="18">
        <f t="shared" si="0"/>
        <v>0.30751236722015568</v>
      </c>
      <c r="AE22" s="1462">
        <f t="shared" si="0"/>
        <v>0.30599511370043225</v>
      </c>
      <c r="AF22" s="18">
        <f t="shared" si="0"/>
        <v>0.30496427368972356</v>
      </c>
      <c r="AG22" s="18">
        <f t="shared" si="0"/>
        <v>0.30400236520196605</v>
      </c>
      <c r="AH22" s="18">
        <f t="shared" si="0"/>
        <v>0.30282795110381316</v>
      </c>
      <c r="AI22" s="1462">
        <f t="shared" si="0"/>
        <v>0.30180228600093162</v>
      </c>
      <c r="AJ22" s="18">
        <f t="shared" si="0"/>
        <v>0.30078773534918224</v>
      </c>
      <c r="AK22" s="18">
        <f t="shared" si="0"/>
        <v>0.30069321071515659</v>
      </c>
      <c r="AL22" s="1463">
        <f t="shared" si="0"/>
        <v>0.30042859591976684</v>
      </c>
      <c r="AM22" s="18">
        <f t="shared" si="0"/>
        <v>0.29934571058487497</v>
      </c>
      <c r="AN22" s="18"/>
      <c r="AO22" s="18"/>
    </row>
    <row r="23" spans="2:41">
      <c r="B23" s="14" t="s">
        <v>1117</v>
      </c>
      <c r="C23" s="18">
        <f t="shared" ref="C23:C28" si="1">C15/C$7</f>
        <v>4.4374009508716325E-2</v>
      </c>
      <c r="D23" s="18">
        <f t="shared" ref="D23:AM23" si="2">D15/D$7</f>
        <v>4.050978607191625E-2</v>
      </c>
      <c r="E23" s="18">
        <f t="shared" si="2"/>
        <v>4.4926413632842756E-2</v>
      </c>
      <c r="F23" s="18">
        <f t="shared" si="2"/>
        <v>4.9876084262701362E-2</v>
      </c>
      <c r="G23" s="18">
        <f t="shared" si="2"/>
        <v>5.3514180024660914E-2</v>
      </c>
      <c r="H23" s="18">
        <f t="shared" si="2"/>
        <v>6.5549067621020904E-2</v>
      </c>
      <c r="I23" s="18">
        <f t="shared" si="2"/>
        <v>7.3213248111563045E-2</v>
      </c>
      <c r="J23" s="18">
        <f t="shared" si="2"/>
        <v>8.291115779068331E-2</v>
      </c>
      <c r="K23" s="18">
        <f t="shared" si="2"/>
        <v>8.9589125733704048E-2</v>
      </c>
      <c r="L23" s="18">
        <f t="shared" si="2"/>
        <v>9.6451319381255687E-2</v>
      </c>
      <c r="M23" s="18">
        <f t="shared" si="2"/>
        <v>9.8797923038622948E-2</v>
      </c>
      <c r="N23" s="18">
        <f t="shared" si="2"/>
        <v>9.725119646582403E-2</v>
      </c>
      <c r="O23" s="1462">
        <f t="shared" si="2"/>
        <v>9.6953242835595782E-2</v>
      </c>
      <c r="P23" s="18">
        <f t="shared" si="2"/>
        <v>9.6274393849793027E-2</v>
      </c>
      <c r="Q23" s="18">
        <f t="shared" si="2"/>
        <v>9.5503679852805889E-2</v>
      </c>
      <c r="R23" s="1463">
        <f t="shared" si="2"/>
        <v>9.4506213211249177E-2</v>
      </c>
      <c r="S23" s="1462">
        <f t="shared" si="2"/>
        <v>9.5354523227383858E-2</v>
      </c>
      <c r="T23" s="18">
        <f t="shared" si="2"/>
        <v>9.7314423657211824E-2</v>
      </c>
      <c r="U23" s="18">
        <f t="shared" si="2"/>
        <v>9.8892520856710742E-2</v>
      </c>
      <c r="V23" s="1463">
        <f t="shared" si="2"/>
        <v>0.10147165259348613</v>
      </c>
      <c r="W23" s="1462">
        <f t="shared" si="2"/>
        <v>0.10359539789069991</v>
      </c>
      <c r="X23" s="18">
        <f t="shared" si="2"/>
        <v>0.10495836125203407</v>
      </c>
      <c r="Y23" s="18">
        <f t="shared" si="2"/>
        <v>0.10603195613122814</v>
      </c>
      <c r="Z23" s="1463">
        <f t="shared" si="2"/>
        <v>0.10772583936189946</v>
      </c>
      <c r="AA23" s="18">
        <f t="shared" si="2"/>
        <v>0.10867579908675799</v>
      </c>
      <c r="AB23" s="18">
        <f t="shared" si="2"/>
        <v>0.10897780164697458</v>
      </c>
      <c r="AC23" s="18">
        <f t="shared" si="2"/>
        <v>0.12182500493778392</v>
      </c>
      <c r="AD23" s="18">
        <f t="shared" si="2"/>
        <v>0.12121793151052651</v>
      </c>
      <c r="AE23" s="1462">
        <f t="shared" si="2"/>
        <v>0.12024055628641232</v>
      </c>
      <c r="AF23" s="18">
        <f t="shared" si="2"/>
        <v>0.12019752347461748</v>
      </c>
      <c r="AG23" s="18">
        <f t="shared" si="2"/>
        <v>0.1186296611109058</v>
      </c>
      <c r="AH23" s="18">
        <f t="shared" si="2"/>
        <v>0.11924831235176063</v>
      </c>
      <c r="AI23" s="1462">
        <f t="shared" si="2"/>
        <v>0.11888638073739653</v>
      </c>
      <c r="AJ23" s="18">
        <f t="shared" si="2"/>
        <v>0.11812497792221555</v>
      </c>
      <c r="AK23" s="18">
        <f t="shared" si="2"/>
        <v>0.11781098686731459</v>
      </c>
      <c r="AL23" s="1463">
        <f t="shared" si="2"/>
        <v>0.11722955597462713</v>
      </c>
      <c r="AM23" s="18">
        <f t="shared" si="2"/>
        <v>0.11677571490252084</v>
      </c>
      <c r="AN23" s="18"/>
      <c r="AO23" s="18"/>
    </row>
    <row r="24" spans="2:41">
      <c r="B24" s="14" t="s">
        <v>1118</v>
      </c>
      <c r="C24" s="18">
        <f t="shared" si="1"/>
        <v>0.35129424194400422</v>
      </c>
      <c r="D24" s="18">
        <f t="shared" ref="D24:AM24" si="3">D16/D$7</f>
        <v>0.34046426945835229</v>
      </c>
      <c r="E24" s="18">
        <f t="shared" si="3"/>
        <v>0.32610379550735863</v>
      </c>
      <c r="F24" s="18">
        <f t="shared" si="3"/>
        <v>0.29553903345724908</v>
      </c>
      <c r="G24" s="18">
        <f t="shared" si="3"/>
        <v>0.27299630086313192</v>
      </c>
      <c r="H24" s="18">
        <f t="shared" si="3"/>
        <v>0.24505556601996609</v>
      </c>
      <c r="I24" s="18">
        <f t="shared" si="3"/>
        <v>0.22254503195816386</v>
      </c>
      <c r="J24" s="18">
        <f t="shared" si="3"/>
        <v>0.20635116767576919</v>
      </c>
      <c r="K24" s="18">
        <f t="shared" si="3"/>
        <v>0.19318298836371126</v>
      </c>
      <c r="L24" s="18">
        <f t="shared" si="3"/>
        <v>0.18165274216229629</v>
      </c>
      <c r="M24" s="18">
        <f t="shared" si="3"/>
        <v>0.1717049576783555</v>
      </c>
      <c r="N24" s="18">
        <f t="shared" si="3"/>
        <v>0.1606332065284084</v>
      </c>
      <c r="O24" s="1462">
        <f t="shared" si="3"/>
        <v>0.16096530920060331</v>
      </c>
      <c r="P24" s="18">
        <f t="shared" si="3"/>
        <v>0.16091070372560615</v>
      </c>
      <c r="Q24" s="18">
        <f t="shared" si="3"/>
        <v>0.16139604415823366</v>
      </c>
      <c r="R24" s="1463">
        <f t="shared" si="3"/>
        <v>0.15990843688685416</v>
      </c>
      <c r="S24" s="1462">
        <f t="shared" si="3"/>
        <v>0.15887218436248243</v>
      </c>
      <c r="T24" s="18">
        <f t="shared" si="3"/>
        <v>0.15826795413397707</v>
      </c>
      <c r="U24" s="18">
        <f t="shared" si="3"/>
        <v>0.15851100160999171</v>
      </c>
      <c r="V24" s="1463">
        <f t="shared" si="3"/>
        <v>0.15942098914354644</v>
      </c>
      <c r="W24" s="1462">
        <f t="shared" si="3"/>
        <v>0.16155321188878236</v>
      </c>
      <c r="X24" s="18">
        <f t="shared" si="3"/>
        <v>0.16272614147602182</v>
      </c>
      <c r="Y24" s="18">
        <f t="shared" si="3"/>
        <v>0.16403517065330434</v>
      </c>
      <c r="Z24" s="1463">
        <f t="shared" si="3"/>
        <v>0.16453348172880727</v>
      </c>
      <c r="AA24" s="18">
        <f t="shared" si="3"/>
        <v>0.165662100456621</v>
      </c>
      <c r="AB24" s="18">
        <f t="shared" si="3"/>
        <v>0.16608485499462944</v>
      </c>
      <c r="AC24" s="18">
        <f t="shared" si="3"/>
        <v>0.14991111988939365</v>
      </c>
      <c r="AD24" s="18">
        <f t="shared" si="3"/>
        <v>0.15097595582313916</v>
      </c>
      <c r="AE24" s="1462">
        <f t="shared" si="3"/>
        <v>0.15166322119902273</v>
      </c>
      <c r="AF24" s="18">
        <f t="shared" si="3"/>
        <v>0.15154689312034716</v>
      </c>
      <c r="AG24" s="18">
        <f t="shared" si="3"/>
        <v>0.15207509516242285</v>
      </c>
      <c r="AH24" s="18">
        <f t="shared" si="3"/>
        <v>0.15172413793103448</v>
      </c>
      <c r="AI24" s="1462">
        <f t="shared" si="3"/>
        <v>0.15167150381597333</v>
      </c>
      <c r="AJ24" s="18">
        <f t="shared" si="3"/>
        <v>0.15125931682503799</v>
      </c>
      <c r="AK24" s="18">
        <f t="shared" si="3"/>
        <v>0.1509736301250566</v>
      </c>
      <c r="AL24" s="1463">
        <f t="shared" si="3"/>
        <v>0.15052288702211555</v>
      </c>
      <c r="AM24" s="18">
        <f t="shared" si="3"/>
        <v>0.14958982364077186</v>
      </c>
      <c r="AN24" s="18"/>
      <c r="AO24" s="18"/>
    </row>
    <row r="25" spans="2:41">
      <c r="B25" s="14" t="s">
        <v>1119</v>
      </c>
      <c r="C25" s="18">
        <f t="shared" si="1"/>
        <v>6.3391442155309036E-2</v>
      </c>
      <c r="D25" s="18">
        <f t="shared" ref="D25:AM25" si="4">D17/D$7</f>
        <v>6.554392353208921E-2</v>
      </c>
      <c r="E25" s="18">
        <f t="shared" si="4"/>
        <v>6.6227730441518209E-2</v>
      </c>
      <c r="F25" s="18">
        <f t="shared" si="4"/>
        <v>6.6294919454770757E-2</v>
      </c>
      <c r="G25" s="18">
        <f t="shared" si="4"/>
        <v>6.4858199753390869E-2</v>
      </c>
      <c r="H25" s="18">
        <f t="shared" si="4"/>
        <v>5.688453569410435E-2</v>
      </c>
      <c r="I25" s="18">
        <f t="shared" si="4"/>
        <v>5.4474142940151078E-2</v>
      </c>
      <c r="J25" s="18">
        <f t="shared" si="4"/>
        <v>4.6830594340788338E-2</v>
      </c>
      <c r="K25" s="18">
        <f t="shared" si="4"/>
        <v>4.0881474616414379E-2</v>
      </c>
      <c r="L25" s="18">
        <f t="shared" si="4"/>
        <v>3.7306642402183801E-2</v>
      </c>
      <c r="M25" s="18">
        <f t="shared" si="4"/>
        <v>3.5351020698484954E-2</v>
      </c>
      <c r="N25" s="18">
        <f t="shared" si="4"/>
        <v>3.2519327524849678E-2</v>
      </c>
      <c r="O25" s="1462">
        <f t="shared" si="4"/>
        <v>3.1855203619909504E-2</v>
      </c>
      <c r="P25" s="18">
        <f t="shared" si="4"/>
        <v>3.1697220579538735E-2</v>
      </c>
      <c r="Q25" s="18">
        <f t="shared" si="4"/>
        <v>3.1968721251149954E-2</v>
      </c>
      <c r="R25" s="1463">
        <f t="shared" si="4"/>
        <v>3.1774580335731412E-2</v>
      </c>
      <c r="S25" s="1462">
        <f t="shared" si="4"/>
        <v>3.0900483795453362E-2</v>
      </c>
      <c r="T25" s="18">
        <f t="shared" si="4"/>
        <v>3.0024140012070006E-2</v>
      </c>
      <c r="U25" s="18">
        <f t="shared" si="4"/>
        <v>2.9955603259013513E-2</v>
      </c>
      <c r="V25" s="1463">
        <f t="shared" si="4"/>
        <v>2.9770808202653799E-2</v>
      </c>
      <c r="W25" s="1462">
        <f t="shared" si="4"/>
        <v>2.9865771812080538E-2</v>
      </c>
      <c r="X25" s="18">
        <f t="shared" si="4"/>
        <v>2.9960754283526372E-2</v>
      </c>
      <c r="Y25" s="18">
        <f t="shared" si="4"/>
        <v>3.0065235889193534E-2</v>
      </c>
      <c r="Z25" s="1463">
        <f t="shared" si="4"/>
        <v>3.0281951400482284E-2</v>
      </c>
      <c r="AA25" s="18">
        <f t="shared" si="4"/>
        <v>3.0045662100456619E-2</v>
      </c>
      <c r="AB25" s="18">
        <f t="shared" si="4"/>
        <v>2.9985678481919083E-2</v>
      </c>
      <c r="AC25" s="18">
        <f t="shared" si="4"/>
        <v>2.7493580880900651E-2</v>
      </c>
      <c r="AD25" s="18">
        <f t="shared" si="4"/>
        <v>2.8224105533611994E-2</v>
      </c>
      <c r="AE25" s="1462">
        <f t="shared" si="4"/>
        <v>2.8490885171960158E-2</v>
      </c>
      <c r="AF25" s="18">
        <f t="shared" si="4"/>
        <v>2.8393999476263514E-2</v>
      </c>
      <c r="AG25" s="18">
        <f t="shared" si="4"/>
        <v>2.8973724084408146E-2</v>
      </c>
      <c r="AH25" s="18">
        <f t="shared" si="4"/>
        <v>2.8899835796387521E-2</v>
      </c>
      <c r="AI25" s="1462">
        <f t="shared" si="4"/>
        <v>2.9273710989286609E-2</v>
      </c>
      <c r="AJ25" s="18">
        <f t="shared" si="4"/>
        <v>2.9672542301035006E-2</v>
      </c>
      <c r="AK25" s="18">
        <f t="shared" si="4"/>
        <v>2.9957850001741736E-2</v>
      </c>
      <c r="AL25" s="1463">
        <f t="shared" si="4"/>
        <v>3.0653180181724669E-2</v>
      </c>
      <c r="AM25" s="18">
        <f t="shared" si="4"/>
        <v>3.1053837722939986E-2</v>
      </c>
      <c r="AN25" s="18"/>
      <c r="AO25" s="18"/>
    </row>
    <row r="26" spans="2:41">
      <c r="B26" s="14" t="s">
        <v>1120</v>
      </c>
      <c r="C26" s="18">
        <f t="shared" si="1"/>
        <v>0</v>
      </c>
      <c r="D26" s="18">
        <f t="shared" ref="D26:AM26" si="5">D18/D$7</f>
        <v>0</v>
      </c>
      <c r="E26" s="18">
        <f t="shared" si="5"/>
        <v>0</v>
      </c>
      <c r="F26" s="18">
        <f t="shared" si="5"/>
        <v>0</v>
      </c>
      <c r="G26" s="18">
        <f t="shared" si="5"/>
        <v>5.1787916152897656E-3</v>
      </c>
      <c r="H26" s="18">
        <f t="shared" si="5"/>
        <v>1.0736485213787908E-2</v>
      </c>
      <c r="I26" s="18">
        <f t="shared" si="5"/>
        <v>1.3073794305636257E-2</v>
      </c>
      <c r="J26" s="18">
        <f t="shared" si="5"/>
        <v>1.4827628815025331E-2</v>
      </c>
      <c r="K26" s="18">
        <f t="shared" si="5"/>
        <v>2.5538049634435178E-2</v>
      </c>
      <c r="L26" s="18">
        <f t="shared" si="5"/>
        <v>3.5404086359500375E-2</v>
      </c>
      <c r="M26" s="18">
        <f t="shared" si="5"/>
        <v>4.1681485169642221E-2</v>
      </c>
      <c r="N26" s="18">
        <f t="shared" si="5"/>
        <v>4.6815560191434534E-2</v>
      </c>
      <c r="O26" s="1462">
        <f t="shared" si="5"/>
        <v>4.7541478129713426E-2</v>
      </c>
      <c r="P26" s="18">
        <f t="shared" si="5"/>
        <v>4.8432879952690716E-2</v>
      </c>
      <c r="Q26" s="18">
        <f t="shared" si="5"/>
        <v>5.0080496780128797E-2</v>
      </c>
      <c r="R26" s="1463">
        <f t="shared" si="5"/>
        <v>5.1776760409853934E-2</v>
      </c>
      <c r="S26" s="1462">
        <f t="shared" si="5"/>
        <v>5.3269520886438118E-2</v>
      </c>
      <c r="T26" s="18">
        <f t="shared" si="5"/>
        <v>5.5069402534701266E-2</v>
      </c>
      <c r="U26" s="18">
        <f t="shared" si="5"/>
        <v>5.6983948870566424E-2</v>
      </c>
      <c r="V26" s="1463">
        <f t="shared" si="5"/>
        <v>5.86248492159228E-2</v>
      </c>
      <c r="W26" s="1462">
        <f t="shared" si="5"/>
        <v>5.7909875359539786E-2</v>
      </c>
      <c r="X26" s="18">
        <f t="shared" si="5"/>
        <v>5.8342107782138414E-2</v>
      </c>
      <c r="Y26" s="18">
        <f t="shared" si="5"/>
        <v>5.8286848822917653E-2</v>
      </c>
      <c r="Z26" s="1463">
        <f t="shared" si="5"/>
        <v>5.8940827304767206E-2</v>
      </c>
      <c r="AA26" s="18">
        <f t="shared" si="5"/>
        <v>5.8904109589041097E-2</v>
      </c>
      <c r="AB26" s="18">
        <f t="shared" si="5"/>
        <v>5.979233798782671E-2</v>
      </c>
      <c r="AC26" s="18">
        <f t="shared" si="5"/>
        <v>5.4552636776614656E-2</v>
      </c>
      <c r="AD26" s="18">
        <f t="shared" si="5"/>
        <v>5.6179775280898875E-2</v>
      </c>
      <c r="AE26" s="1462">
        <f t="shared" si="5"/>
        <v>5.7094531103176097E-2</v>
      </c>
      <c r="AF26" s="18">
        <f t="shared" si="5"/>
        <v>5.7124686693352286E-2</v>
      </c>
      <c r="AG26" s="18">
        <f t="shared" si="5"/>
        <v>5.750397280017739E-2</v>
      </c>
      <c r="AH26" s="18">
        <f t="shared" si="5"/>
        <v>5.8091589126071888E-2</v>
      </c>
      <c r="AI26" s="1462">
        <f t="shared" si="5"/>
        <v>5.8834067863413234E-2</v>
      </c>
      <c r="AJ26" s="18">
        <f t="shared" si="5"/>
        <v>5.9557031332791693E-2</v>
      </c>
      <c r="AK26" s="18">
        <f t="shared" si="5"/>
        <v>6.0089873550005224E-2</v>
      </c>
      <c r="AL26" s="1463">
        <f t="shared" si="5"/>
        <v>6.1066346648379906E-2</v>
      </c>
      <c r="AM26" s="18">
        <f t="shared" si="5"/>
        <v>6.2539440034541163E-2</v>
      </c>
      <c r="AN26" s="18"/>
      <c r="AO26" s="18"/>
    </row>
    <row r="27" spans="2:41">
      <c r="B27" s="14" t="s">
        <v>1121</v>
      </c>
      <c r="C27" s="18">
        <f t="shared" si="1"/>
        <v>1.3734812466983624E-2</v>
      </c>
      <c r="D27" s="18">
        <f t="shared" ref="D27:AM27" si="6">D19/D$7</f>
        <v>1.7296313154301319E-2</v>
      </c>
      <c r="E27" s="18">
        <f t="shared" si="6"/>
        <v>2.5948876839659178E-2</v>
      </c>
      <c r="F27" s="18">
        <f t="shared" si="6"/>
        <v>4.3060718711276334E-2</v>
      </c>
      <c r="G27" s="18">
        <f t="shared" si="6"/>
        <v>5.8692971639950679E-2</v>
      </c>
      <c r="H27" s="18">
        <f t="shared" si="6"/>
        <v>6.8562817856470143E-2</v>
      </c>
      <c r="I27" s="18">
        <f t="shared" si="6"/>
        <v>7.9750145264381178E-2</v>
      </c>
      <c r="J27" s="18">
        <f t="shared" si="6"/>
        <v>8.2787594217224758E-2</v>
      </c>
      <c r="K27" s="18">
        <f t="shared" si="6"/>
        <v>8.6087941509628257E-2</v>
      </c>
      <c r="L27" s="18">
        <f t="shared" si="6"/>
        <v>9.1405409876747459E-2</v>
      </c>
      <c r="M27" s="18">
        <f t="shared" si="6"/>
        <v>9.3249875524575004E-2</v>
      </c>
      <c r="N27" s="18">
        <f t="shared" si="6"/>
        <v>0.100380414774819</v>
      </c>
      <c r="O27" s="1462">
        <f t="shared" si="6"/>
        <v>0.1011764705882353</v>
      </c>
      <c r="P27" s="18">
        <f t="shared" si="6"/>
        <v>0.10124186871673566</v>
      </c>
      <c r="Q27" s="18">
        <f t="shared" si="6"/>
        <v>0.1031508739650414</v>
      </c>
      <c r="R27" s="1463">
        <f t="shared" si="6"/>
        <v>0.1038805319380859</v>
      </c>
      <c r="S27" s="1462">
        <f t="shared" si="6"/>
        <v>0.10534255839359101</v>
      </c>
      <c r="T27" s="18">
        <f t="shared" si="6"/>
        <v>0.10546167773083887</v>
      </c>
      <c r="U27" s="18">
        <f t="shared" si="6"/>
        <v>0.10450309801434356</v>
      </c>
      <c r="V27" s="1463">
        <f t="shared" si="6"/>
        <v>0.10301568154402894</v>
      </c>
      <c r="W27" s="1462">
        <f t="shared" si="6"/>
        <v>0.1027804410354746</v>
      </c>
      <c r="X27" s="18">
        <f t="shared" si="6"/>
        <v>0.10280463290896909</v>
      </c>
      <c r="Y27" s="18">
        <f t="shared" si="6"/>
        <v>0.10281743405502505</v>
      </c>
      <c r="Z27" s="1463">
        <f t="shared" si="6"/>
        <v>0.10253199777406789</v>
      </c>
      <c r="AA27" s="18">
        <f t="shared" si="6"/>
        <v>0.10360730593607306</v>
      </c>
      <c r="AB27" s="18">
        <f t="shared" si="6"/>
        <v>0.10396527031865378</v>
      </c>
      <c r="AC27" s="18">
        <f t="shared" si="6"/>
        <v>9.9111198893936395E-2</v>
      </c>
      <c r="AD27" s="18">
        <f t="shared" si="6"/>
        <v>9.8477585611841847E-2</v>
      </c>
      <c r="AE27" s="1462">
        <f t="shared" si="6"/>
        <v>9.7989099793271944E-2</v>
      </c>
      <c r="AF27" s="18">
        <f t="shared" si="6"/>
        <v>9.8088361827092144E-2</v>
      </c>
      <c r="AG27" s="18">
        <f t="shared" si="6"/>
        <v>9.8784138364315016E-2</v>
      </c>
      <c r="AH27" s="18">
        <f t="shared" si="6"/>
        <v>9.925196132092684E-2</v>
      </c>
      <c r="AI27" s="1462">
        <f t="shared" si="6"/>
        <v>9.9645275717510487E-2</v>
      </c>
      <c r="AJ27" s="18">
        <f t="shared" si="6"/>
        <v>0.10032145254159455</v>
      </c>
      <c r="AK27" s="18">
        <f t="shared" si="6"/>
        <v>0.10035879750583482</v>
      </c>
      <c r="AL27" s="1463">
        <f t="shared" si="6"/>
        <v>9.987999314246529E-2</v>
      </c>
      <c r="AM27" s="18">
        <f t="shared" si="6"/>
        <v>9.9970108605400385E-2</v>
      </c>
      <c r="AN27" s="18"/>
      <c r="AO27" s="18"/>
    </row>
    <row r="28" spans="2:41">
      <c r="B28" s="14" t="s">
        <v>1122</v>
      </c>
      <c r="C28" s="18">
        <f t="shared" si="1"/>
        <v>0.28526148969889065</v>
      </c>
      <c r="D28" s="18">
        <f t="shared" ref="D28:AM28" si="7">D20/D$7</f>
        <v>0.28903049613108783</v>
      </c>
      <c r="E28" s="18">
        <f t="shared" si="7"/>
        <v>0.2881487219209915</v>
      </c>
      <c r="F28" s="18">
        <f t="shared" si="7"/>
        <v>0.29770755885997524</v>
      </c>
      <c r="G28" s="18">
        <f t="shared" si="7"/>
        <v>0.31393341553637483</v>
      </c>
      <c r="H28" s="18">
        <f t="shared" si="7"/>
        <v>0.32416650970050859</v>
      </c>
      <c r="I28" s="18">
        <f t="shared" si="7"/>
        <v>0.32350377687391052</v>
      </c>
      <c r="J28" s="18">
        <f t="shared" si="7"/>
        <v>0.31953540096379585</v>
      </c>
      <c r="K28" s="18">
        <f t="shared" si="7"/>
        <v>0.31078158789002164</v>
      </c>
      <c r="L28" s="18">
        <f t="shared" si="7"/>
        <v>0.29613698403507321</v>
      </c>
      <c r="M28" s="18">
        <f t="shared" si="7"/>
        <v>0.29290845721601821</v>
      </c>
      <c r="N28" s="18">
        <f t="shared" si="7"/>
        <v>0.28567922444471716</v>
      </c>
      <c r="O28" s="1462">
        <f t="shared" si="7"/>
        <v>0.28452488687782806</v>
      </c>
      <c r="P28" s="18">
        <f t="shared" si="7"/>
        <v>0.28314606741573034</v>
      </c>
      <c r="Q28" s="18">
        <f t="shared" si="7"/>
        <v>0.27915133394664216</v>
      </c>
      <c r="R28" s="1463">
        <f t="shared" si="7"/>
        <v>0.27648790058861999</v>
      </c>
      <c r="S28" s="1462">
        <f t="shared" si="7"/>
        <v>0.2743068199552619</v>
      </c>
      <c r="T28" s="18">
        <f t="shared" si="7"/>
        <v>0.27253067793200564</v>
      </c>
      <c r="U28" s="18">
        <f t="shared" si="7"/>
        <v>0.27057618188027516</v>
      </c>
      <c r="V28" s="1463">
        <f t="shared" si="7"/>
        <v>0.26813027744270207</v>
      </c>
      <c r="W28" s="1462">
        <f t="shared" si="7"/>
        <v>0.26706615532118888</v>
      </c>
      <c r="X28" s="18">
        <f t="shared" si="7"/>
        <v>0.26586579879391214</v>
      </c>
      <c r="Y28" s="18">
        <f t="shared" si="7"/>
        <v>0.26538716082064856</v>
      </c>
      <c r="Z28" s="1463">
        <f t="shared" si="7"/>
        <v>0.26437581153774808</v>
      </c>
      <c r="AA28" s="18">
        <f t="shared" si="7"/>
        <v>0.26374429223744295</v>
      </c>
      <c r="AB28" s="18">
        <f t="shared" si="7"/>
        <v>0.26351593268886503</v>
      </c>
      <c r="AC28" s="18">
        <f t="shared" si="7"/>
        <v>0.23717163736914873</v>
      </c>
      <c r="AD28" s="18">
        <f t="shared" si="7"/>
        <v>0.23741227901982589</v>
      </c>
      <c r="AE28" s="1462">
        <f t="shared" si="7"/>
        <v>0.23852659274572449</v>
      </c>
      <c r="AF28" s="18">
        <f t="shared" si="7"/>
        <v>0.23949721297370094</v>
      </c>
      <c r="AG28" s="18">
        <f t="shared" si="7"/>
        <v>0.23977234931076535</v>
      </c>
      <c r="AH28" s="18">
        <f t="shared" si="7"/>
        <v>0.23951833607006021</v>
      </c>
      <c r="AI28" s="1462">
        <f t="shared" si="7"/>
        <v>0.23924182163459815</v>
      </c>
      <c r="AJ28" s="18">
        <f t="shared" si="7"/>
        <v>0.23928785898477517</v>
      </c>
      <c r="AK28" s="18">
        <f t="shared" si="7"/>
        <v>0.23872226286271642</v>
      </c>
      <c r="AL28" s="1463">
        <f t="shared" si="7"/>
        <v>0.2378193039602263</v>
      </c>
      <c r="AM28" s="18">
        <f t="shared" si="7"/>
        <v>0.23720482247832875</v>
      </c>
      <c r="AN28" s="18"/>
      <c r="AO28" s="18"/>
    </row>
    <row r="29" spans="2:41">
      <c r="B29" s="1404"/>
      <c r="C29" s="1357"/>
      <c r="D29" s="1357"/>
      <c r="E29" s="1357"/>
      <c r="F29" s="1357"/>
      <c r="G29" s="1357"/>
      <c r="H29" s="1357"/>
      <c r="I29" s="1357"/>
      <c r="J29" s="1357"/>
      <c r="K29" s="1357"/>
    </row>
    <row r="30" spans="2:41">
      <c r="B30" s="1404"/>
      <c r="C30" s="1357"/>
      <c r="D30" s="1357"/>
      <c r="E30" s="1357"/>
      <c r="F30" s="1357"/>
      <c r="G30" s="1357"/>
      <c r="H30" s="1357"/>
      <c r="I30" s="1357"/>
      <c r="J30" s="1357"/>
      <c r="K30" s="1357"/>
    </row>
    <row r="31" spans="2:41">
      <c r="B31" s="94" t="s">
        <v>127</v>
      </c>
      <c r="C31" s="1405"/>
      <c r="D31" s="1405"/>
      <c r="E31" s="1405"/>
      <c r="F31" s="1405"/>
      <c r="G31" s="1405"/>
      <c r="H31" s="1405"/>
      <c r="I31" s="1405"/>
      <c r="J31" s="1405"/>
      <c r="K31" s="1405"/>
      <c r="AI31" s="4" t="s">
        <v>1203</v>
      </c>
      <c r="AL31" s="4" t="s">
        <v>1203</v>
      </c>
    </row>
    <row r="32" spans="2:41">
      <c r="B32" s="1406" t="s">
        <v>124</v>
      </c>
      <c r="C32" s="1405"/>
      <c r="D32" s="1405"/>
      <c r="E32" s="1405"/>
      <c r="F32" s="1405"/>
      <c r="G32" s="1405"/>
      <c r="H32" s="1405"/>
      <c r="I32" s="1405"/>
      <c r="J32" s="1405"/>
      <c r="K32" s="1405"/>
    </row>
    <row r="33" spans="2:41" s="46" customFormat="1">
      <c r="B33" s="1364" t="s">
        <v>103</v>
      </c>
      <c r="C33" s="1365"/>
      <c r="D33" s="1365"/>
      <c r="E33" s="1365"/>
      <c r="F33" s="1365"/>
      <c r="G33" s="1365"/>
      <c r="H33" s="1365"/>
      <c r="I33" s="1365"/>
      <c r="J33" s="1365"/>
      <c r="K33" s="1365">
        <v>2466</v>
      </c>
      <c r="L33" s="1366">
        <v>3163</v>
      </c>
      <c r="M33" s="1366">
        <v>3744</v>
      </c>
      <c r="N33" s="1366">
        <v>4510</v>
      </c>
      <c r="O33" s="1464">
        <v>4591</v>
      </c>
      <c r="P33" s="1366">
        <v>4706</v>
      </c>
      <c r="Q33" s="1366">
        <v>4848</v>
      </c>
      <c r="R33" s="1465">
        <v>5168</v>
      </c>
      <c r="S33" s="1486">
        <v>5420</v>
      </c>
      <c r="T33" s="1487">
        <v>5594</v>
      </c>
      <c r="U33" s="1487">
        <v>5751</v>
      </c>
      <c r="V33" s="1488">
        <v>5794</v>
      </c>
      <c r="W33" s="1486">
        <v>5783</v>
      </c>
      <c r="X33" s="1487">
        <v>5753</v>
      </c>
      <c r="Y33" s="1487">
        <v>5783</v>
      </c>
      <c r="Z33" s="1488">
        <v>5857</v>
      </c>
      <c r="AA33" s="1487">
        <v>5899</v>
      </c>
      <c r="AB33" s="1487">
        <v>5981</v>
      </c>
      <c r="AC33" s="1487">
        <v>7846</v>
      </c>
      <c r="AD33" s="1487">
        <v>8019</v>
      </c>
      <c r="AE33" s="1486">
        <v>8141</v>
      </c>
      <c r="AF33" s="1487">
        <v>8152</v>
      </c>
      <c r="AG33" s="1487">
        <v>8226</v>
      </c>
      <c r="AH33" s="1488">
        <v>8299</v>
      </c>
      <c r="AI33" s="1486">
        <v>8423</v>
      </c>
      <c r="AJ33" s="1487">
        <v>8515</v>
      </c>
      <c r="AK33" s="1487">
        <v>8632</v>
      </c>
      <c r="AL33" s="1488">
        <v>8762</v>
      </c>
      <c r="AM33" s="1487">
        <v>9013</v>
      </c>
      <c r="AN33" s="1487">
        <v>0</v>
      </c>
      <c r="AO33" s="1488">
        <v>0</v>
      </c>
    </row>
    <row r="34" spans="2:41" s="40" customFormat="1">
      <c r="B34" s="91" t="s">
        <v>1231</v>
      </c>
      <c r="C34" s="19">
        <v>458</v>
      </c>
      <c r="D34" s="19">
        <v>542</v>
      </c>
      <c r="E34" s="19">
        <v>638</v>
      </c>
      <c r="F34" s="19">
        <v>794</v>
      </c>
      <c r="G34" s="19">
        <v>927</v>
      </c>
      <c r="H34" s="19">
        <v>1153</v>
      </c>
      <c r="I34" s="17">
        <v>1449</v>
      </c>
      <c r="J34" s="17">
        <v>1821</v>
      </c>
      <c r="K34" s="17">
        <v>2170</v>
      </c>
      <c r="L34" s="40">
        <v>2578</v>
      </c>
      <c r="M34" s="40">
        <v>2875</v>
      </c>
      <c r="N34" s="40">
        <v>3484</v>
      </c>
      <c r="O34" s="1458">
        <v>3535</v>
      </c>
      <c r="P34" s="40">
        <v>3611</v>
      </c>
      <c r="Q34" s="40">
        <v>3707</v>
      </c>
      <c r="R34" s="1459">
        <v>3940</v>
      </c>
      <c r="S34" s="1460">
        <v>4100</v>
      </c>
      <c r="T34" s="4">
        <v>4167</v>
      </c>
      <c r="U34" s="4">
        <v>4228</v>
      </c>
      <c r="V34" s="1461">
        <v>4238</v>
      </c>
      <c r="W34" s="1460">
        <v>4192</v>
      </c>
      <c r="X34" s="4">
        <v>4158</v>
      </c>
      <c r="Y34" s="4">
        <v>4149</v>
      </c>
      <c r="Z34" s="1461">
        <v>4182</v>
      </c>
      <c r="AA34" s="4">
        <v>4192</v>
      </c>
      <c r="AB34" s="4">
        <v>4229</v>
      </c>
      <c r="AC34" s="4">
        <v>4283</v>
      </c>
      <c r="AD34" s="4">
        <v>4394</v>
      </c>
      <c r="AE34" s="1460">
        <v>4467</v>
      </c>
      <c r="AF34" s="4">
        <v>4482</v>
      </c>
      <c r="AG34" s="4">
        <v>4547</v>
      </c>
      <c r="AH34" s="1461">
        <v>4596</v>
      </c>
      <c r="AI34" s="1460">
        <v>4684</v>
      </c>
      <c r="AJ34" s="4">
        <v>4740</v>
      </c>
      <c r="AK34" s="4">
        <v>4826</v>
      </c>
      <c r="AL34" s="1461">
        <v>4921</v>
      </c>
      <c r="AM34" s="4">
        <v>5100</v>
      </c>
      <c r="AN34" s="4"/>
      <c r="AO34" s="1461"/>
    </row>
    <row r="35" spans="2:41" s="40" customFormat="1">
      <c r="B35" s="91" t="s">
        <v>1233</v>
      </c>
      <c r="C35" s="19"/>
      <c r="D35" s="19"/>
      <c r="E35" s="19"/>
      <c r="F35" s="19"/>
      <c r="G35" s="19"/>
      <c r="H35" s="19"/>
      <c r="I35" s="17"/>
      <c r="J35" s="17"/>
      <c r="K35" s="17"/>
      <c r="O35" s="1447"/>
      <c r="P35" s="1428"/>
      <c r="Q35" s="1428"/>
      <c r="R35" s="1448"/>
      <c r="S35" s="1491" t="s">
        <v>100</v>
      </c>
      <c r="T35" s="1492" t="s">
        <v>100</v>
      </c>
      <c r="U35" s="1492" t="s">
        <v>100</v>
      </c>
      <c r="V35" s="1493" t="s">
        <v>100</v>
      </c>
      <c r="W35" s="1491" t="s">
        <v>100</v>
      </c>
      <c r="X35" s="1492" t="s">
        <v>100</v>
      </c>
      <c r="Y35" s="1492" t="s">
        <v>100</v>
      </c>
      <c r="Z35" s="1493" t="s">
        <v>100</v>
      </c>
      <c r="AA35" s="1492" t="s">
        <v>100</v>
      </c>
      <c r="AB35" s="1492" t="s">
        <v>100</v>
      </c>
      <c r="AC35" s="48">
        <v>1759</v>
      </c>
      <c r="AD35" s="4">
        <v>1752</v>
      </c>
      <c r="AE35" s="1518">
        <v>1744</v>
      </c>
      <c r="AF35" s="1514">
        <v>1743</v>
      </c>
      <c r="AG35" s="1514">
        <v>1737</v>
      </c>
      <c r="AH35" s="1519">
        <v>1742</v>
      </c>
      <c r="AI35" s="1518">
        <v>1744</v>
      </c>
      <c r="AJ35" s="1514">
        <v>1751</v>
      </c>
      <c r="AK35" s="1514">
        <v>1758</v>
      </c>
      <c r="AL35" s="1519">
        <v>1770</v>
      </c>
      <c r="AM35" s="1514">
        <v>1802</v>
      </c>
      <c r="AN35" s="1514">
        <v>0</v>
      </c>
      <c r="AO35" s="1519">
        <v>0</v>
      </c>
    </row>
    <row r="36" spans="2:41" s="40" customFormat="1">
      <c r="B36" s="91" t="s">
        <v>1232</v>
      </c>
      <c r="C36" s="19">
        <v>0</v>
      </c>
      <c r="D36" s="19">
        <v>1</v>
      </c>
      <c r="E36" s="19">
        <v>4</v>
      </c>
      <c r="F36" s="19">
        <v>5</v>
      </c>
      <c r="G36" s="19">
        <v>9</v>
      </c>
      <c r="H36" s="19">
        <v>16</v>
      </c>
      <c r="I36" s="17">
        <v>25</v>
      </c>
      <c r="J36" s="17">
        <v>27</v>
      </c>
      <c r="K36" s="17">
        <v>51</v>
      </c>
      <c r="L36" s="40">
        <v>67</v>
      </c>
      <c r="M36" s="40">
        <v>76</v>
      </c>
      <c r="N36" s="40">
        <v>81</v>
      </c>
      <c r="O36" s="1458">
        <v>80</v>
      </c>
      <c r="P36" s="40">
        <v>82</v>
      </c>
      <c r="Q36" s="40">
        <v>82</v>
      </c>
      <c r="R36" s="1459">
        <v>85</v>
      </c>
      <c r="S36" s="1460">
        <v>85</v>
      </c>
      <c r="T36" s="4">
        <v>85</v>
      </c>
      <c r="U36" s="4">
        <v>88</v>
      </c>
      <c r="V36" s="1461">
        <v>90</v>
      </c>
      <c r="W36" s="1460">
        <v>90</v>
      </c>
      <c r="X36" s="4">
        <v>89</v>
      </c>
      <c r="Y36" s="4">
        <v>88</v>
      </c>
      <c r="Z36" s="1461">
        <v>87</v>
      </c>
      <c r="AA36" s="4">
        <v>87</v>
      </c>
      <c r="AB36" s="4">
        <v>87</v>
      </c>
      <c r="AC36" s="4">
        <v>86</v>
      </c>
      <c r="AD36" s="4">
        <v>86</v>
      </c>
      <c r="AE36" s="1460">
        <v>86</v>
      </c>
      <c r="AF36" s="4">
        <v>85</v>
      </c>
      <c r="AG36" s="4">
        <v>85</v>
      </c>
      <c r="AH36" s="1461">
        <v>85</v>
      </c>
      <c r="AI36" s="1460">
        <v>85</v>
      </c>
      <c r="AJ36" s="4">
        <v>84</v>
      </c>
      <c r="AK36" s="4">
        <v>83</v>
      </c>
      <c r="AL36" s="1461">
        <v>83</v>
      </c>
      <c r="AM36" s="4">
        <v>80</v>
      </c>
      <c r="AN36" s="4"/>
      <c r="AO36" s="1461"/>
    </row>
    <row r="37" spans="2:41" s="40" customFormat="1">
      <c r="B37" s="92" t="s">
        <v>198</v>
      </c>
      <c r="C37" s="19"/>
      <c r="D37" s="19"/>
      <c r="E37" s="19"/>
      <c r="F37" s="19"/>
      <c r="G37" s="19"/>
      <c r="H37" s="19"/>
      <c r="I37" s="17">
        <v>3</v>
      </c>
      <c r="J37" s="17">
        <v>11</v>
      </c>
      <c r="K37" s="17">
        <v>245</v>
      </c>
      <c r="L37" s="40">
        <v>518</v>
      </c>
      <c r="M37" s="40">
        <v>793</v>
      </c>
      <c r="N37" s="40">
        <v>945</v>
      </c>
      <c r="O37" s="1458">
        <v>976</v>
      </c>
      <c r="P37" s="40">
        <v>1013</v>
      </c>
      <c r="Q37" s="40">
        <v>1059</v>
      </c>
      <c r="R37" s="1459">
        <v>1143</v>
      </c>
      <c r="S37" s="1460">
        <v>1235</v>
      </c>
      <c r="T37" s="4">
        <v>1342</v>
      </c>
      <c r="U37" s="4">
        <v>1435</v>
      </c>
      <c r="V37" s="1461">
        <v>1466</v>
      </c>
      <c r="W37" s="1460">
        <v>1501</v>
      </c>
      <c r="X37" s="4">
        <v>1506</v>
      </c>
      <c r="Y37" s="4">
        <v>1546</v>
      </c>
      <c r="Z37" s="1461">
        <v>1588</v>
      </c>
      <c r="AA37" s="4">
        <v>1620</v>
      </c>
      <c r="AB37" s="4">
        <v>1665</v>
      </c>
      <c r="AC37" s="4">
        <v>1718</v>
      </c>
      <c r="AD37" s="4">
        <v>1787</v>
      </c>
      <c r="AE37" s="1460">
        <v>1844</v>
      </c>
      <c r="AF37" s="4">
        <v>1842</v>
      </c>
      <c r="AG37" s="4">
        <v>1857</v>
      </c>
      <c r="AH37" s="1461">
        <v>1876</v>
      </c>
      <c r="AI37" s="1460">
        <v>1910</v>
      </c>
      <c r="AJ37" s="4">
        <v>1940</v>
      </c>
      <c r="AK37" s="4">
        <v>1965</v>
      </c>
      <c r="AL37" s="1461">
        <v>1988</v>
      </c>
      <c r="AM37" s="4">
        <v>2031</v>
      </c>
      <c r="AN37" s="4"/>
      <c r="AO37" s="1461"/>
    </row>
    <row r="38" spans="2:41" s="40" customFormat="1">
      <c r="B38" s="14"/>
      <c r="C38" s="19"/>
      <c r="D38" s="19"/>
      <c r="E38" s="19"/>
      <c r="F38" s="19"/>
      <c r="G38" s="19"/>
      <c r="H38" s="19"/>
      <c r="I38" s="17"/>
      <c r="J38" s="17"/>
      <c r="K38" s="17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2:41" s="43" customFormat="1">
      <c r="B39" s="20" t="s">
        <v>157</v>
      </c>
      <c r="C39" s="21">
        <v>7</v>
      </c>
      <c r="D39" s="21">
        <v>7</v>
      </c>
      <c r="E39" s="21">
        <v>7</v>
      </c>
      <c r="F39" s="21">
        <v>7</v>
      </c>
      <c r="G39" s="21">
        <v>10</v>
      </c>
      <c r="H39" s="21">
        <v>26</v>
      </c>
      <c r="I39" s="21">
        <v>56</v>
      </c>
      <c r="J39" s="21">
        <v>117</v>
      </c>
      <c r="K39" s="21">
        <v>539</v>
      </c>
      <c r="L39" s="43">
        <v>854</v>
      </c>
      <c r="M39" s="43">
        <v>1093</v>
      </c>
      <c r="N39" s="43">
        <v>1448</v>
      </c>
      <c r="O39" s="1466">
        <v>1438</v>
      </c>
      <c r="P39" s="46">
        <v>1455</v>
      </c>
      <c r="Q39" s="46">
        <v>1493</v>
      </c>
      <c r="R39" s="1467">
        <v>1632</v>
      </c>
      <c r="S39" s="1484">
        <v>1736</v>
      </c>
      <c r="T39" s="43">
        <v>1792</v>
      </c>
      <c r="U39" s="43">
        <v>1825</v>
      </c>
      <c r="V39" s="1485">
        <v>1819</v>
      </c>
      <c r="W39" s="1484">
        <v>1779</v>
      </c>
      <c r="X39" s="43">
        <v>1757</v>
      </c>
      <c r="Y39" s="43">
        <v>1739</v>
      </c>
      <c r="Z39" s="1485">
        <v>1754</v>
      </c>
      <c r="AA39" s="43">
        <v>1756</v>
      </c>
      <c r="AB39" s="43">
        <v>1776</v>
      </c>
      <c r="AC39" s="43">
        <v>3124</v>
      </c>
      <c r="AD39" s="43">
        <v>3182</v>
      </c>
      <c r="AE39" s="1484">
        <v>3215</v>
      </c>
      <c r="AF39" s="43">
        <v>3218</v>
      </c>
      <c r="AG39" s="43">
        <v>3235</v>
      </c>
      <c r="AH39" s="1485">
        <v>3278</v>
      </c>
      <c r="AI39" s="1484">
        <v>3318</v>
      </c>
      <c r="AJ39" s="43">
        <v>3346</v>
      </c>
      <c r="AK39" s="43">
        <v>3396</v>
      </c>
      <c r="AL39" s="1485">
        <v>3486</v>
      </c>
      <c r="AM39" s="43">
        <v>3614</v>
      </c>
      <c r="AN39" s="43">
        <v>0</v>
      </c>
      <c r="AO39" s="1485">
        <v>0</v>
      </c>
    </row>
    <row r="40" spans="2:41">
      <c r="B40" s="91" t="s">
        <v>1231</v>
      </c>
      <c r="C40" s="13">
        <v>7</v>
      </c>
      <c r="D40" s="13">
        <v>7</v>
      </c>
      <c r="E40" s="13">
        <v>7</v>
      </c>
      <c r="F40" s="13">
        <v>7</v>
      </c>
      <c r="G40" s="13">
        <v>10</v>
      </c>
      <c r="H40" s="13">
        <v>25</v>
      </c>
      <c r="I40" s="13">
        <v>53</v>
      </c>
      <c r="J40" s="13">
        <v>114</v>
      </c>
      <c r="K40" s="13">
        <v>505</v>
      </c>
      <c r="L40" s="4">
        <v>734</v>
      </c>
      <c r="M40" s="4">
        <v>873</v>
      </c>
      <c r="N40" s="4">
        <v>1225</v>
      </c>
      <c r="O40" s="1460">
        <v>1214</v>
      </c>
      <c r="P40" s="4">
        <v>1229</v>
      </c>
      <c r="Q40" s="4">
        <v>1263</v>
      </c>
      <c r="R40" s="1461">
        <v>1382</v>
      </c>
      <c r="S40" s="1460">
        <v>1454</v>
      </c>
      <c r="T40" s="4">
        <v>1460</v>
      </c>
      <c r="U40" s="4">
        <v>1447</v>
      </c>
      <c r="V40" s="1461">
        <v>1428</v>
      </c>
      <c r="W40" s="1460">
        <v>1386</v>
      </c>
      <c r="X40" s="4">
        <v>1366</v>
      </c>
      <c r="Y40" s="4">
        <v>1337</v>
      </c>
      <c r="Z40" s="1461">
        <v>1339</v>
      </c>
      <c r="AA40" s="4">
        <v>1332</v>
      </c>
      <c r="AB40" s="4">
        <v>1338</v>
      </c>
      <c r="AC40" s="4">
        <v>1348</v>
      </c>
      <c r="AD40" s="4">
        <v>1382</v>
      </c>
      <c r="AE40" s="1460">
        <v>1401</v>
      </c>
      <c r="AF40" s="4">
        <v>1404</v>
      </c>
      <c r="AG40" s="4">
        <v>1421</v>
      </c>
      <c r="AH40" s="1461">
        <v>1444</v>
      </c>
      <c r="AI40" s="1460">
        <v>1465</v>
      </c>
      <c r="AJ40" s="4">
        <v>1477</v>
      </c>
      <c r="AK40" s="4">
        <v>1508</v>
      </c>
      <c r="AL40" s="1461">
        <v>1577</v>
      </c>
      <c r="AM40" s="4">
        <v>1655</v>
      </c>
      <c r="AO40" s="1461"/>
    </row>
    <row r="41" spans="2:41">
      <c r="B41" s="91" t="s">
        <v>1233</v>
      </c>
      <c r="C41" s="1362"/>
      <c r="D41" s="1362"/>
      <c r="E41" s="1362"/>
      <c r="F41" s="1362"/>
      <c r="G41" s="1362"/>
      <c r="H41" s="1362"/>
      <c r="I41" s="1362"/>
      <c r="J41" s="1362"/>
      <c r="K41" s="1363"/>
      <c r="O41" s="1447"/>
      <c r="P41" s="1428"/>
      <c r="Q41" s="1428"/>
      <c r="R41" s="1448"/>
      <c r="S41" s="1491" t="s">
        <v>100</v>
      </c>
      <c r="T41" s="1492" t="s">
        <v>100</v>
      </c>
      <c r="U41" s="1492" t="s">
        <v>100</v>
      </c>
      <c r="V41" s="1493" t="s">
        <v>100</v>
      </c>
      <c r="W41" s="1491" t="s">
        <v>100</v>
      </c>
      <c r="X41" s="1492" t="s">
        <v>100</v>
      </c>
      <c r="Y41" s="1492" t="s">
        <v>100</v>
      </c>
      <c r="Z41" s="1493" t="s">
        <v>100</v>
      </c>
      <c r="AA41" s="1492" t="s">
        <v>100</v>
      </c>
      <c r="AB41" s="1492" t="s">
        <v>100</v>
      </c>
      <c r="AC41" s="48">
        <v>1319</v>
      </c>
      <c r="AD41" s="4">
        <v>1315</v>
      </c>
      <c r="AE41" s="1518">
        <v>1309</v>
      </c>
      <c r="AF41" s="1514">
        <v>1309</v>
      </c>
      <c r="AG41" s="1514">
        <v>1305</v>
      </c>
      <c r="AH41" s="1519">
        <v>1312</v>
      </c>
      <c r="AI41" s="1518">
        <v>1317</v>
      </c>
      <c r="AJ41" s="1514">
        <v>1323</v>
      </c>
      <c r="AK41" s="1514">
        <v>1328</v>
      </c>
      <c r="AL41" s="1519">
        <v>1341</v>
      </c>
      <c r="AM41" s="1514">
        <v>1367</v>
      </c>
      <c r="AN41" s="1514"/>
      <c r="AO41" s="1519"/>
    </row>
    <row r="42" spans="2:41">
      <c r="B42" s="91" t="s">
        <v>1232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12</v>
      </c>
      <c r="L42" s="4">
        <v>18</v>
      </c>
      <c r="M42" s="4">
        <v>19</v>
      </c>
      <c r="N42" s="4">
        <v>18</v>
      </c>
      <c r="O42" s="1460">
        <v>17</v>
      </c>
      <c r="P42" s="4">
        <v>18</v>
      </c>
      <c r="Q42" s="4">
        <v>18</v>
      </c>
      <c r="R42" s="1461">
        <v>18</v>
      </c>
      <c r="S42" s="1460">
        <v>18</v>
      </c>
      <c r="T42" s="4">
        <v>18</v>
      </c>
      <c r="U42" s="4">
        <v>18</v>
      </c>
      <c r="V42" s="1461">
        <v>19</v>
      </c>
      <c r="W42" s="1460">
        <v>19</v>
      </c>
      <c r="X42" s="4">
        <v>19</v>
      </c>
      <c r="Y42" s="4">
        <v>19</v>
      </c>
      <c r="Z42" s="1461">
        <v>18</v>
      </c>
      <c r="AA42" s="4">
        <v>18</v>
      </c>
      <c r="AB42" s="4">
        <v>18</v>
      </c>
      <c r="AC42" s="4">
        <v>18</v>
      </c>
      <c r="AD42" s="4">
        <v>17</v>
      </c>
      <c r="AE42" s="1460">
        <v>17</v>
      </c>
      <c r="AF42" s="4">
        <v>17</v>
      </c>
      <c r="AG42" s="4">
        <v>17</v>
      </c>
      <c r="AH42" s="1461">
        <v>17</v>
      </c>
      <c r="AI42" s="1460">
        <v>17</v>
      </c>
      <c r="AJ42" s="4">
        <v>16</v>
      </c>
      <c r="AK42" s="4">
        <v>17</v>
      </c>
      <c r="AL42" s="1461">
        <v>17</v>
      </c>
      <c r="AM42" s="4">
        <v>14</v>
      </c>
      <c r="AO42" s="1461"/>
    </row>
    <row r="43" spans="2:41">
      <c r="B43" s="92" t="s">
        <v>198</v>
      </c>
      <c r="C43" s="13"/>
      <c r="D43" s="13"/>
      <c r="E43" s="13"/>
      <c r="F43" s="13"/>
      <c r="G43" s="13"/>
      <c r="H43" s="13"/>
      <c r="I43" s="13"/>
      <c r="J43" s="13">
        <v>1</v>
      </c>
      <c r="K43" s="13">
        <v>22</v>
      </c>
      <c r="L43" s="4">
        <v>102</v>
      </c>
      <c r="M43" s="4">
        <v>201</v>
      </c>
      <c r="N43" s="4">
        <v>205</v>
      </c>
      <c r="O43" s="1460">
        <v>207</v>
      </c>
      <c r="P43" s="4">
        <v>208</v>
      </c>
      <c r="Q43" s="4">
        <v>212</v>
      </c>
      <c r="R43" s="1461">
        <v>232</v>
      </c>
      <c r="S43" s="1460">
        <v>264</v>
      </c>
      <c r="T43" s="4">
        <v>314</v>
      </c>
      <c r="U43" s="4">
        <v>360</v>
      </c>
      <c r="V43" s="1461">
        <v>372</v>
      </c>
      <c r="W43" s="1460">
        <v>374</v>
      </c>
      <c r="X43" s="4">
        <v>372</v>
      </c>
      <c r="Y43" s="4">
        <v>383</v>
      </c>
      <c r="Z43" s="1461">
        <v>397</v>
      </c>
      <c r="AA43" s="4">
        <v>406</v>
      </c>
      <c r="AB43" s="4">
        <v>420</v>
      </c>
      <c r="AC43" s="4">
        <v>439</v>
      </c>
      <c r="AD43" s="4">
        <v>468</v>
      </c>
      <c r="AE43" s="1460">
        <v>488</v>
      </c>
      <c r="AF43" s="4">
        <v>488</v>
      </c>
      <c r="AG43" s="4">
        <v>492</v>
      </c>
      <c r="AH43" s="1461">
        <v>505</v>
      </c>
      <c r="AI43" s="1460">
        <v>519</v>
      </c>
      <c r="AJ43" s="4">
        <v>530</v>
      </c>
      <c r="AK43" s="4">
        <v>543</v>
      </c>
      <c r="AL43" s="1461">
        <v>551</v>
      </c>
      <c r="AM43" s="4">
        <v>578</v>
      </c>
      <c r="AO43" s="1461"/>
    </row>
    <row r="44" spans="2:41">
      <c r="B44" s="14"/>
      <c r="C44" s="1362"/>
      <c r="D44" s="1362"/>
      <c r="E44" s="1362"/>
      <c r="F44" s="1362"/>
      <c r="G44" s="1362"/>
      <c r="H44" s="1362"/>
      <c r="I44" s="1362"/>
      <c r="J44" s="1362"/>
      <c r="K44" s="1363"/>
    </row>
    <row r="45" spans="2:41" s="46" customFormat="1">
      <c r="B45" s="1364" t="s">
        <v>121</v>
      </c>
      <c r="C45" s="1365"/>
      <c r="D45" s="1365"/>
      <c r="E45" s="1365"/>
      <c r="F45" s="1365"/>
      <c r="G45" s="1365"/>
      <c r="H45" s="1365"/>
      <c r="I45" s="1365"/>
      <c r="J45" s="1365"/>
      <c r="K45" s="1365">
        <v>870</v>
      </c>
      <c r="L45" s="1366">
        <v>1166</v>
      </c>
      <c r="M45" s="1366">
        <v>1389</v>
      </c>
      <c r="N45" s="1366">
        <v>1585</v>
      </c>
      <c r="O45" s="1464">
        <v>1607</v>
      </c>
      <c r="P45" s="1366">
        <v>1628</v>
      </c>
      <c r="Q45" s="1366">
        <v>1661</v>
      </c>
      <c r="R45" s="1465">
        <v>1734</v>
      </c>
      <c r="S45" s="1486">
        <v>1833</v>
      </c>
      <c r="T45" s="1487">
        <v>1935</v>
      </c>
      <c r="U45" s="1487">
        <v>2027</v>
      </c>
      <c r="V45" s="1488">
        <v>2103</v>
      </c>
      <c r="W45" s="1486">
        <v>2161</v>
      </c>
      <c r="X45" s="1487">
        <v>2193</v>
      </c>
      <c r="Y45" s="1487">
        <v>2243</v>
      </c>
      <c r="Z45" s="1488">
        <v>2323</v>
      </c>
      <c r="AA45" s="1487">
        <v>2380</v>
      </c>
      <c r="AB45" s="1487">
        <v>2435</v>
      </c>
      <c r="AC45" s="1487">
        <v>3084</v>
      </c>
      <c r="AD45" s="1487">
        <v>3161</v>
      </c>
      <c r="AE45" s="1486">
        <v>3199</v>
      </c>
      <c r="AF45" s="1487">
        <v>3213</v>
      </c>
      <c r="AG45" s="1487">
        <v>3210</v>
      </c>
      <c r="AH45" s="1488">
        <v>3268</v>
      </c>
      <c r="AI45" s="1486">
        <v>3318</v>
      </c>
      <c r="AJ45" s="1487">
        <v>3344</v>
      </c>
      <c r="AK45" s="1487">
        <v>3382</v>
      </c>
      <c r="AL45" s="1488">
        <v>3419</v>
      </c>
      <c r="AM45" s="1487">
        <v>3516</v>
      </c>
      <c r="AN45" s="1487">
        <v>0</v>
      </c>
      <c r="AO45" s="1488">
        <v>0</v>
      </c>
    </row>
    <row r="46" spans="2:41" s="40" customFormat="1">
      <c r="B46" s="91" t="s">
        <v>1231</v>
      </c>
      <c r="C46" s="13">
        <v>84</v>
      </c>
      <c r="D46" s="13">
        <v>88</v>
      </c>
      <c r="E46" s="13">
        <v>115</v>
      </c>
      <c r="F46" s="13">
        <v>160</v>
      </c>
      <c r="G46" s="13">
        <v>215</v>
      </c>
      <c r="H46" s="13">
        <v>320</v>
      </c>
      <c r="I46" s="13">
        <v>431</v>
      </c>
      <c r="J46" s="13">
        <v>602</v>
      </c>
      <c r="K46" s="13">
        <v>757</v>
      </c>
      <c r="L46" s="40">
        <v>936</v>
      </c>
      <c r="M46" s="40">
        <v>1074</v>
      </c>
      <c r="N46" s="40">
        <v>1236</v>
      </c>
      <c r="O46" s="1458">
        <v>1252</v>
      </c>
      <c r="P46" s="40">
        <v>1271</v>
      </c>
      <c r="Q46" s="40">
        <v>1298</v>
      </c>
      <c r="R46" s="1459">
        <v>1346</v>
      </c>
      <c r="S46" s="1460">
        <v>1406</v>
      </c>
      <c r="T46" s="4">
        <v>1468</v>
      </c>
      <c r="U46" s="4">
        <v>1516</v>
      </c>
      <c r="V46" s="1461">
        <v>1566</v>
      </c>
      <c r="W46" s="1460">
        <v>1591</v>
      </c>
      <c r="X46" s="4">
        <v>1617</v>
      </c>
      <c r="Y46" s="4">
        <v>1647</v>
      </c>
      <c r="Z46" s="1461">
        <v>1703</v>
      </c>
      <c r="AA46" s="4">
        <v>1738</v>
      </c>
      <c r="AB46" s="4">
        <v>1773</v>
      </c>
      <c r="AC46" s="4">
        <v>1812</v>
      </c>
      <c r="AD46" s="4">
        <v>1855</v>
      </c>
      <c r="AE46" s="1460">
        <v>1882</v>
      </c>
      <c r="AF46" s="4">
        <v>1900</v>
      </c>
      <c r="AG46" s="4">
        <v>2007</v>
      </c>
      <c r="AH46" s="1461">
        <v>2059</v>
      </c>
      <c r="AI46" s="1460">
        <v>2097</v>
      </c>
      <c r="AJ46" s="4">
        <v>2115</v>
      </c>
      <c r="AK46" s="4">
        <v>2146</v>
      </c>
      <c r="AL46" s="1461">
        <v>2170</v>
      </c>
      <c r="AM46" s="4">
        <v>2237</v>
      </c>
      <c r="AN46" s="4"/>
      <c r="AO46" s="1461"/>
    </row>
    <row r="47" spans="2:41" s="40" customFormat="1">
      <c r="B47" s="91" t="s">
        <v>1233</v>
      </c>
      <c r="C47" s="13"/>
      <c r="D47" s="13"/>
      <c r="E47" s="13"/>
      <c r="F47" s="13"/>
      <c r="G47" s="13"/>
      <c r="H47" s="13"/>
      <c r="I47" s="13"/>
      <c r="J47" s="13"/>
      <c r="K47" s="13"/>
      <c r="O47" s="1447"/>
      <c r="P47" s="1428"/>
      <c r="Q47" s="1428"/>
      <c r="R47" s="1448"/>
      <c r="S47" s="1491" t="s">
        <v>100</v>
      </c>
      <c r="T47" s="1492" t="s">
        <v>100</v>
      </c>
      <c r="U47" s="1492" t="s">
        <v>100</v>
      </c>
      <c r="V47" s="1493" t="s">
        <v>100</v>
      </c>
      <c r="W47" s="1491" t="s">
        <v>100</v>
      </c>
      <c r="X47" s="1492" t="s">
        <v>100</v>
      </c>
      <c r="Y47" s="1492" t="s">
        <v>100</v>
      </c>
      <c r="Z47" s="1493" t="s">
        <v>100</v>
      </c>
      <c r="AA47" s="1492" t="s">
        <v>100</v>
      </c>
      <c r="AB47" s="1492" t="s">
        <v>100</v>
      </c>
      <c r="AC47" s="48">
        <v>584</v>
      </c>
      <c r="AD47" s="4">
        <v>588</v>
      </c>
      <c r="AE47" s="1518">
        <v>589</v>
      </c>
      <c r="AF47" s="1514">
        <v>583</v>
      </c>
      <c r="AG47" s="1514">
        <v>471</v>
      </c>
      <c r="AH47" s="1519">
        <v>466</v>
      </c>
      <c r="AI47" s="1518">
        <v>463</v>
      </c>
      <c r="AJ47" s="1514">
        <v>462</v>
      </c>
      <c r="AK47" s="1514">
        <v>461</v>
      </c>
      <c r="AL47" s="1519">
        <v>465</v>
      </c>
      <c r="AM47" s="1514">
        <v>472</v>
      </c>
      <c r="AN47" s="1514">
        <v>0</v>
      </c>
      <c r="AO47" s="1519">
        <v>0</v>
      </c>
    </row>
    <row r="48" spans="2:41" s="40" customFormat="1">
      <c r="B48" s="91" t="s">
        <v>1232</v>
      </c>
      <c r="C48" s="13">
        <v>0</v>
      </c>
      <c r="D48" s="13">
        <v>1</v>
      </c>
      <c r="E48" s="13">
        <v>1</v>
      </c>
      <c r="F48" s="13">
        <v>1</v>
      </c>
      <c r="G48" s="13">
        <v>2</v>
      </c>
      <c r="H48" s="13">
        <v>5</v>
      </c>
      <c r="I48" s="13">
        <v>6</v>
      </c>
      <c r="J48" s="13">
        <v>10</v>
      </c>
      <c r="K48" s="13">
        <v>15</v>
      </c>
      <c r="L48" s="40">
        <v>25</v>
      </c>
      <c r="M48" s="40">
        <v>30</v>
      </c>
      <c r="N48" s="40">
        <v>32</v>
      </c>
      <c r="O48" s="1458">
        <v>33</v>
      </c>
      <c r="P48" s="40">
        <v>33</v>
      </c>
      <c r="Q48" s="40">
        <v>33</v>
      </c>
      <c r="R48" s="1459">
        <v>33</v>
      </c>
      <c r="S48" s="1460">
        <v>33</v>
      </c>
      <c r="T48" s="4">
        <v>33</v>
      </c>
      <c r="U48" s="4">
        <v>33</v>
      </c>
      <c r="V48" s="1461">
        <v>35</v>
      </c>
      <c r="W48" s="1460">
        <v>35</v>
      </c>
      <c r="X48" s="4">
        <v>35</v>
      </c>
      <c r="Y48" s="4">
        <v>35</v>
      </c>
      <c r="Z48" s="1461">
        <v>37</v>
      </c>
      <c r="AA48" s="4">
        <v>38</v>
      </c>
      <c r="AB48" s="4">
        <v>38</v>
      </c>
      <c r="AC48" s="4">
        <v>38</v>
      </c>
      <c r="AD48" s="4">
        <v>38</v>
      </c>
      <c r="AE48" s="1460">
        <v>38</v>
      </c>
      <c r="AF48" s="4">
        <v>37</v>
      </c>
      <c r="AG48" s="4">
        <v>37</v>
      </c>
      <c r="AH48" s="1461">
        <v>37</v>
      </c>
      <c r="AI48" s="1460">
        <v>37</v>
      </c>
      <c r="AJ48" s="4">
        <v>36</v>
      </c>
      <c r="AK48" s="4">
        <v>35</v>
      </c>
      <c r="AL48" s="1461">
        <v>35</v>
      </c>
      <c r="AM48" s="4">
        <v>35</v>
      </c>
      <c r="AN48" s="4"/>
      <c r="AO48" s="1461"/>
    </row>
    <row r="49" spans="2:41" s="40" customFormat="1">
      <c r="B49" s="92" t="s">
        <v>198</v>
      </c>
      <c r="C49" s="13"/>
      <c r="D49" s="13"/>
      <c r="E49" s="13"/>
      <c r="F49" s="13"/>
      <c r="G49" s="13"/>
      <c r="H49" s="13"/>
      <c r="I49" s="13">
        <v>1</v>
      </c>
      <c r="J49" s="13">
        <v>1</v>
      </c>
      <c r="K49" s="13">
        <v>98</v>
      </c>
      <c r="L49" s="40">
        <v>205</v>
      </c>
      <c r="M49" s="40">
        <v>285</v>
      </c>
      <c r="N49" s="40">
        <v>317</v>
      </c>
      <c r="O49" s="1458">
        <v>322</v>
      </c>
      <c r="P49" s="40">
        <v>324</v>
      </c>
      <c r="Q49" s="40">
        <v>330</v>
      </c>
      <c r="R49" s="1459">
        <v>355</v>
      </c>
      <c r="S49" s="1460">
        <v>394</v>
      </c>
      <c r="T49" s="4">
        <v>434</v>
      </c>
      <c r="U49" s="4">
        <v>478</v>
      </c>
      <c r="V49" s="1461">
        <v>502</v>
      </c>
      <c r="W49" s="1460">
        <v>535</v>
      </c>
      <c r="X49" s="4">
        <v>541</v>
      </c>
      <c r="Y49" s="4">
        <v>561</v>
      </c>
      <c r="Z49" s="1461">
        <v>583</v>
      </c>
      <c r="AA49" s="4">
        <v>604</v>
      </c>
      <c r="AB49" s="4">
        <v>624</v>
      </c>
      <c r="AC49" s="4">
        <v>650</v>
      </c>
      <c r="AD49" s="4">
        <v>680</v>
      </c>
      <c r="AE49" s="1460">
        <v>690</v>
      </c>
      <c r="AF49" s="4">
        <v>693</v>
      </c>
      <c r="AG49" s="4">
        <v>695</v>
      </c>
      <c r="AH49" s="1461">
        <v>706</v>
      </c>
      <c r="AI49" s="1460">
        <v>721</v>
      </c>
      <c r="AJ49" s="4">
        <v>731</v>
      </c>
      <c r="AK49" s="4">
        <v>740</v>
      </c>
      <c r="AL49" s="1461">
        <v>749</v>
      </c>
      <c r="AM49" s="4">
        <v>772</v>
      </c>
      <c r="AN49" s="4"/>
      <c r="AO49" s="1461"/>
    </row>
    <row r="50" spans="2:41" s="40" customFormat="1">
      <c r="B50" s="14"/>
      <c r="C50" s="13"/>
      <c r="D50" s="13"/>
      <c r="E50" s="13"/>
      <c r="F50" s="13"/>
      <c r="G50" s="13"/>
      <c r="H50" s="13"/>
      <c r="I50" s="13"/>
      <c r="J50" s="13"/>
      <c r="K50" s="13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2:41" s="43" customFormat="1">
      <c r="B51" s="1449" t="s">
        <v>219</v>
      </c>
      <c r="C51" s="1450">
        <v>18</v>
      </c>
      <c r="D51" s="1450">
        <v>17</v>
      </c>
      <c r="E51" s="1450">
        <v>22</v>
      </c>
      <c r="F51" s="1450">
        <v>19</v>
      </c>
      <c r="G51" s="1450">
        <v>18</v>
      </c>
      <c r="H51" s="1450">
        <v>21</v>
      </c>
      <c r="I51" s="1451">
        <v>43</v>
      </c>
      <c r="J51" s="1451">
        <v>83</v>
      </c>
      <c r="K51" s="1451">
        <v>279</v>
      </c>
      <c r="L51" s="1444">
        <v>390</v>
      </c>
      <c r="M51" s="1444">
        <v>461</v>
      </c>
      <c r="N51" s="1444">
        <v>556</v>
      </c>
      <c r="O51" s="1468">
        <v>563</v>
      </c>
      <c r="P51" s="1452">
        <v>570</v>
      </c>
      <c r="Q51" s="1452">
        <v>580</v>
      </c>
      <c r="R51" s="1469">
        <v>604</v>
      </c>
      <c r="S51" s="1489">
        <v>647</v>
      </c>
      <c r="T51" s="1444">
        <v>697</v>
      </c>
      <c r="U51" s="1444">
        <v>745</v>
      </c>
      <c r="V51" s="1490">
        <v>781</v>
      </c>
      <c r="W51" s="1489">
        <v>816</v>
      </c>
      <c r="X51" s="1444">
        <v>847</v>
      </c>
      <c r="Y51" s="1444">
        <v>866</v>
      </c>
      <c r="Z51" s="1490">
        <v>896</v>
      </c>
      <c r="AA51" s="1444">
        <v>935</v>
      </c>
      <c r="AB51" s="1444">
        <v>967</v>
      </c>
      <c r="AC51" s="1444">
        <v>1450</v>
      </c>
      <c r="AD51" s="1444">
        <v>1496</v>
      </c>
      <c r="AE51" s="1489">
        <v>1522</v>
      </c>
      <c r="AF51" s="1444">
        <v>1533</v>
      </c>
      <c r="AG51" s="1444">
        <v>1550</v>
      </c>
      <c r="AH51" s="1490">
        <v>1586</v>
      </c>
      <c r="AI51" s="1489">
        <v>1632</v>
      </c>
      <c r="AJ51" s="1444">
        <v>1650</v>
      </c>
      <c r="AK51" s="1444">
        <v>1679</v>
      </c>
      <c r="AL51" s="1490">
        <v>1705</v>
      </c>
      <c r="AM51" s="1444">
        <v>1779</v>
      </c>
      <c r="AN51" s="1444">
        <v>0</v>
      </c>
      <c r="AO51" s="1490">
        <v>0</v>
      </c>
    </row>
    <row r="52" spans="2:41">
      <c r="B52" s="91" t="s">
        <v>1231</v>
      </c>
      <c r="C52" s="13">
        <v>18</v>
      </c>
      <c r="D52" s="13">
        <v>17</v>
      </c>
      <c r="E52" s="13">
        <v>22</v>
      </c>
      <c r="F52" s="13">
        <v>19</v>
      </c>
      <c r="G52" s="13">
        <v>18</v>
      </c>
      <c r="H52" s="13">
        <v>21</v>
      </c>
      <c r="I52" s="16">
        <v>38</v>
      </c>
      <c r="J52" s="16">
        <v>80</v>
      </c>
      <c r="K52" s="16">
        <v>250</v>
      </c>
      <c r="L52" s="4">
        <v>334</v>
      </c>
      <c r="M52" s="4">
        <v>389</v>
      </c>
      <c r="N52" s="4">
        <v>478</v>
      </c>
      <c r="O52" s="1460">
        <v>486</v>
      </c>
      <c r="P52" s="4">
        <v>492</v>
      </c>
      <c r="Q52" s="4">
        <v>499</v>
      </c>
      <c r="R52" s="1461">
        <v>516</v>
      </c>
      <c r="S52" s="1460">
        <v>548</v>
      </c>
      <c r="T52" s="4">
        <v>586</v>
      </c>
      <c r="U52" s="4">
        <v>608</v>
      </c>
      <c r="V52" s="1461">
        <v>632</v>
      </c>
      <c r="W52" s="1460">
        <v>646</v>
      </c>
      <c r="X52" s="4">
        <v>671</v>
      </c>
      <c r="Y52" s="4">
        <v>684</v>
      </c>
      <c r="Z52" s="1461">
        <v>706</v>
      </c>
      <c r="AA52" s="4">
        <v>730</v>
      </c>
      <c r="AB52" s="4">
        <v>749</v>
      </c>
      <c r="AC52" s="4">
        <v>775</v>
      </c>
      <c r="AD52" s="4">
        <v>805</v>
      </c>
      <c r="AE52" s="1460">
        <v>822</v>
      </c>
      <c r="AF52" s="4">
        <v>836</v>
      </c>
      <c r="AG52" s="4">
        <v>851</v>
      </c>
      <c r="AH52" s="1461">
        <v>875</v>
      </c>
      <c r="AI52" s="1460">
        <v>909</v>
      </c>
      <c r="AJ52" s="4">
        <v>921</v>
      </c>
      <c r="AK52" s="4">
        <v>943</v>
      </c>
      <c r="AL52" s="1461">
        <v>959</v>
      </c>
      <c r="AM52" s="4">
        <v>1011</v>
      </c>
      <c r="AO52" s="1461"/>
    </row>
    <row r="53" spans="2:41">
      <c r="B53" s="91" t="s">
        <v>1233</v>
      </c>
      <c r="C53" s="1362"/>
      <c r="D53" s="1362"/>
      <c r="E53" s="1362"/>
      <c r="F53" s="1362"/>
      <c r="G53" s="1362"/>
      <c r="H53" s="1362"/>
      <c r="I53" s="1362"/>
      <c r="J53" s="1362"/>
      <c r="K53" s="1363"/>
      <c r="O53" s="1447"/>
      <c r="P53" s="1428"/>
      <c r="Q53" s="1428"/>
      <c r="R53" s="1448"/>
      <c r="S53" s="1491" t="s">
        <v>100</v>
      </c>
      <c r="T53" s="1492" t="s">
        <v>100</v>
      </c>
      <c r="U53" s="1492" t="s">
        <v>100</v>
      </c>
      <c r="V53" s="1493" t="s">
        <v>100</v>
      </c>
      <c r="W53" s="1491" t="s">
        <v>100</v>
      </c>
      <c r="X53" s="1492" t="s">
        <v>100</v>
      </c>
      <c r="Y53" s="1492" t="s">
        <v>100</v>
      </c>
      <c r="Z53" s="1493" t="s">
        <v>100</v>
      </c>
      <c r="AA53" s="1492" t="s">
        <v>100</v>
      </c>
      <c r="AB53" s="1492" t="s">
        <v>100</v>
      </c>
      <c r="AC53" s="48">
        <v>440</v>
      </c>
      <c r="AD53" s="4">
        <v>444</v>
      </c>
      <c r="AE53" s="1518">
        <v>447</v>
      </c>
      <c r="AF53" s="1514">
        <v>443</v>
      </c>
      <c r="AG53" s="1514">
        <v>443</v>
      </c>
      <c r="AH53" s="1519">
        <v>445</v>
      </c>
      <c r="AI53" s="1518">
        <v>444</v>
      </c>
      <c r="AJ53" s="1514">
        <v>443</v>
      </c>
      <c r="AK53" s="1514">
        <v>442</v>
      </c>
      <c r="AL53" s="1519">
        <v>446</v>
      </c>
      <c r="AM53" s="1514">
        <v>452</v>
      </c>
      <c r="AN53" s="1514"/>
      <c r="AO53" s="1519"/>
    </row>
    <row r="54" spans="2:41">
      <c r="B54" s="91" t="s">
        <v>1232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6">
        <v>0</v>
      </c>
      <c r="J54" s="16">
        <v>0</v>
      </c>
      <c r="K54" s="16">
        <v>7</v>
      </c>
      <c r="L54" s="4">
        <v>9</v>
      </c>
      <c r="M54" s="4">
        <v>9</v>
      </c>
      <c r="N54" s="4">
        <v>9</v>
      </c>
      <c r="O54" s="1460">
        <v>9</v>
      </c>
      <c r="P54" s="4">
        <v>9</v>
      </c>
      <c r="Q54" s="4">
        <v>9</v>
      </c>
      <c r="R54" s="1461">
        <v>9</v>
      </c>
      <c r="S54" s="1460">
        <v>9</v>
      </c>
      <c r="T54" s="4">
        <v>9</v>
      </c>
      <c r="U54" s="4">
        <v>9</v>
      </c>
      <c r="V54" s="1461">
        <v>10</v>
      </c>
      <c r="W54" s="1460">
        <v>10</v>
      </c>
      <c r="X54" s="4">
        <v>10</v>
      </c>
      <c r="Y54" s="4">
        <v>10</v>
      </c>
      <c r="Z54" s="1461">
        <v>11</v>
      </c>
      <c r="AA54" s="4">
        <v>11</v>
      </c>
      <c r="AB54" s="4">
        <v>11</v>
      </c>
      <c r="AC54" s="4">
        <v>11</v>
      </c>
      <c r="AD54" s="4">
        <v>11</v>
      </c>
      <c r="AE54" s="1460">
        <v>11</v>
      </c>
      <c r="AF54" s="4">
        <v>11</v>
      </c>
      <c r="AG54" s="4">
        <v>11</v>
      </c>
      <c r="AH54" s="1461">
        <v>11</v>
      </c>
      <c r="AI54" s="1460">
        <v>11</v>
      </c>
      <c r="AJ54" s="4">
        <v>11</v>
      </c>
      <c r="AK54" s="4">
        <v>11</v>
      </c>
      <c r="AL54" s="1461">
        <v>11</v>
      </c>
      <c r="AM54" s="4">
        <v>11</v>
      </c>
      <c r="AO54" s="1461"/>
    </row>
    <row r="55" spans="2:41">
      <c r="B55" s="92" t="s">
        <v>198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6">
        <v>0</v>
      </c>
      <c r="J55" s="16">
        <v>0</v>
      </c>
      <c r="K55" s="16">
        <v>22</v>
      </c>
      <c r="L55" s="4">
        <v>47</v>
      </c>
      <c r="M55" s="4">
        <v>63</v>
      </c>
      <c r="N55" s="4">
        <v>69</v>
      </c>
      <c r="O55" s="1460">
        <v>68</v>
      </c>
      <c r="P55" s="4">
        <v>69</v>
      </c>
      <c r="Q55" s="4">
        <v>72</v>
      </c>
      <c r="R55" s="1461">
        <v>79</v>
      </c>
      <c r="S55" s="1460">
        <v>90</v>
      </c>
      <c r="T55" s="4">
        <v>102</v>
      </c>
      <c r="U55" s="4">
        <v>128</v>
      </c>
      <c r="V55" s="1461">
        <v>139</v>
      </c>
      <c r="W55" s="1460">
        <v>160</v>
      </c>
      <c r="X55" s="4">
        <v>166</v>
      </c>
      <c r="Y55" s="4">
        <v>172</v>
      </c>
      <c r="Z55" s="1461">
        <v>179</v>
      </c>
      <c r="AA55" s="4">
        <v>194</v>
      </c>
      <c r="AB55" s="4">
        <v>207</v>
      </c>
      <c r="AC55" s="4">
        <v>224</v>
      </c>
      <c r="AD55" s="4">
        <v>236</v>
      </c>
      <c r="AE55" s="1460">
        <v>242</v>
      </c>
      <c r="AF55" s="4">
        <v>243</v>
      </c>
      <c r="AG55" s="4">
        <v>245</v>
      </c>
      <c r="AH55" s="1461">
        <v>255</v>
      </c>
      <c r="AI55" s="1460">
        <v>268</v>
      </c>
      <c r="AJ55" s="4">
        <v>275</v>
      </c>
      <c r="AK55" s="4">
        <v>283</v>
      </c>
      <c r="AL55" s="1461">
        <v>289</v>
      </c>
      <c r="AM55" s="4">
        <v>305</v>
      </c>
      <c r="AO55" s="1461"/>
    </row>
    <row r="56" spans="2:41">
      <c r="B56" s="14"/>
      <c r="C56" s="1362"/>
      <c r="D56" s="1362"/>
      <c r="E56" s="1362"/>
      <c r="F56" s="1362"/>
      <c r="G56" s="1362"/>
      <c r="H56" s="1362"/>
      <c r="I56" s="1362"/>
      <c r="J56" s="1362"/>
      <c r="K56" s="1363"/>
    </row>
    <row r="57" spans="2:41" s="46" customFormat="1">
      <c r="B57" s="1364" t="s">
        <v>104</v>
      </c>
      <c r="C57" s="1365"/>
      <c r="D57" s="1365"/>
      <c r="E57" s="1365"/>
      <c r="F57" s="1365"/>
      <c r="G57" s="1365"/>
      <c r="H57" s="1365"/>
      <c r="I57" s="1365"/>
      <c r="J57" s="1365"/>
      <c r="K57" s="1365">
        <v>1876</v>
      </c>
      <c r="L57" s="1366">
        <v>2196</v>
      </c>
      <c r="M57" s="1366">
        <v>2414</v>
      </c>
      <c r="N57" s="1366">
        <v>2618</v>
      </c>
      <c r="O57" s="1464">
        <v>2668</v>
      </c>
      <c r="P57" s="1366">
        <v>2721</v>
      </c>
      <c r="Q57" s="1366">
        <v>2807</v>
      </c>
      <c r="R57" s="1465">
        <v>2934</v>
      </c>
      <c r="S57" s="1486">
        <v>3054</v>
      </c>
      <c r="T57" s="1487">
        <v>3147</v>
      </c>
      <c r="U57" s="1487">
        <v>3249</v>
      </c>
      <c r="V57" s="1488">
        <v>3304</v>
      </c>
      <c r="W57" s="1486">
        <v>3370</v>
      </c>
      <c r="X57" s="1487">
        <v>3400</v>
      </c>
      <c r="Y57" s="1487">
        <v>3470</v>
      </c>
      <c r="Z57" s="1488">
        <v>3548</v>
      </c>
      <c r="AA57" s="1487">
        <v>3628</v>
      </c>
      <c r="AB57" s="1487">
        <v>3711</v>
      </c>
      <c r="AC57" s="1487">
        <v>3795</v>
      </c>
      <c r="AD57" s="1487">
        <v>3937</v>
      </c>
      <c r="AE57" s="1486">
        <v>4035</v>
      </c>
      <c r="AF57" s="1487">
        <v>4051</v>
      </c>
      <c r="AG57" s="1487">
        <v>4115</v>
      </c>
      <c r="AH57" s="1488">
        <v>4158</v>
      </c>
      <c r="AI57" s="1486">
        <v>4233</v>
      </c>
      <c r="AJ57" s="1487">
        <v>4282</v>
      </c>
      <c r="AK57" s="1487">
        <v>4334</v>
      </c>
      <c r="AL57" s="1488">
        <v>4390</v>
      </c>
      <c r="AM57" s="1487">
        <v>4504</v>
      </c>
      <c r="AN57" s="1487">
        <v>0</v>
      </c>
      <c r="AO57" s="1488">
        <v>0</v>
      </c>
    </row>
    <row r="58" spans="2:41" s="40" customFormat="1">
      <c r="B58" s="91" t="s">
        <v>1231</v>
      </c>
      <c r="C58" s="13">
        <v>665</v>
      </c>
      <c r="D58" s="13">
        <v>747</v>
      </c>
      <c r="E58" s="13">
        <v>834</v>
      </c>
      <c r="F58" s="13">
        <v>940</v>
      </c>
      <c r="G58" s="13">
        <v>1080</v>
      </c>
      <c r="H58" s="13">
        <v>1201</v>
      </c>
      <c r="I58" s="16">
        <v>1303</v>
      </c>
      <c r="J58" s="16">
        <v>1412</v>
      </c>
      <c r="K58" s="16">
        <v>1523</v>
      </c>
      <c r="L58" s="40">
        <v>1648</v>
      </c>
      <c r="M58" s="40">
        <v>1723</v>
      </c>
      <c r="N58" s="40">
        <v>1816</v>
      </c>
      <c r="O58" s="1458">
        <v>1847</v>
      </c>
      <c r="P58" s="40">
        <v>1870</v>
      </c>
      <c r="Q58" s="40">
        <v>1913</v>
      </c>
      <c r="R58" s="1459">
        <v>1969</v>
      </c>
      <c r="S58" s="1460">
        <v>2026</v>
      </c>
      <c r="T58" s="4">
        <v>2065</v>
      </c>
      <c r="U58" s="4">
        <v>2100</v>
      </c>
      <c r="V58" s="1461">
        <v>2130</v>
      </c>
      <c r="W58" s="1460">
        <v>2149</v>
      </c>
      <c r="X58" s="4">
        <v>2162</v>
      </c>
      <c r="Y58" s="4">
        <v>2201</v>
      </c>
      <c r="Z58" s="1461">
        <v>2243</v>
      </c>
      <c r="AA58" s="4">
        <v>2295</v>
      </c>
      <c r="AB58" s="4">
        <v>2348</v>
      </c>
      <c r="AC58" s="4">
        <v>2415</v>
      </c>
      <c r="AD58" s="4">
        <v>2523</v>
      </c>
      <c r="AE58" s="1460">
        <v>2604</v>
      </c>
      <c r="AF58" s="4">
        <v>2621</v>
      </c>
      <c r="AG58" s="4">
        <v>2677</v>
      </c>
      <c r="AH58" s="1461">
        <v>2713</v>
      </c>
      <c r="AI58" s="1460">
        <v>2772</v>
      </c>
      <c r="AJ58" s="4">
        <v>2814</v>
      </c>
      <c r="AK58" s="4">
        <v>2860</v>
      </c>
      <c r="AL58" s="1461">
        <v>2904</v>
      </c>
      <c r="AM58" s="4">
        <v>3005</v>
      </c>
      <c r="AN58" s="4"/>
      <c r="AO58" s="1461"/>
    </row>
    <row r="59" spans="2:41" s="40" customFormat="1">
      <c r="B59" s="91" t="s">
        <v>1233</v>
      </c>
      <c r="C59" s="13"/>
      <c r="D59" s="13"/>
      <c r="E59" s="13"/>
      <c r="F59" s="13"/>
      <c r="G59" s="13"/>
      <c r="H59" s="13"/>
      <c r="I59" s="13"/>
      <c r="J59" s="13"/>
      <c r="K59" s="13"/>
      <c r="O59" s="1447"/>
      <c r="P59" s="1428"/>
      <c r="Q59" s="1428"/>
      <c r="R59" s="1448"/>
      <c r="S59" s="1491" t="s">
        <v>100</v>
      </c>
      <c r="T59" s="1492" t="s">
        <v>100</v>
      </c>
      <c r="U59" s="1492" t="s">
        <v>100</v>
      </c>
      <c r="V59" s="1493" t="s">
        <v>100</v>
      </c>
      <c r="W59" s="1491" t="s">
        <v>100</v>
      </c>
      <c r="X59" s="1492" t="s">
        <v>100</v>
      </c>
      <c r="Y59" s="1492" t="s">
        <v>100</v>
      </c>
      <c r="Z59" s="1493" t="s">
        <v>100</v>
      </c>
      <c r="AA59" s="1492" t="s">
        <v>100</v>
      </c>
      <c r="AB59" s="1492" t="s">
        <v>100</v>
      </c>
      <c r="AC59" s="37">
        <v>0</v>
      </c>
      <c r="AD59" s="37">
        <v>0</v>
      </c>
      <c r="AE59" s="1483">
        <v>0</v>
      </c>
      <c r="AF59" s="1514"/>
      <c r="AG59" s="1514"/>
      <c r="AH59" s="1519"/>
      <c r="AI59" s="1483"/>
      <c r="AJ59" s="1514"/>
      <c r="AK59" s="1514"/>
      <c r="AL59" s="1519"/>
      <c r="AM59" s="1514"/>
      <c r="AN59" s="1514"/>
      <c r="AO59" s="1519"/>
    </row>
    <row r="60" spans="2:41" s="40" customFormat="1">
      <c r="B60" s="91" t="s">
        <v>1232</v>
      </c>
      <c r="C60" s="13">
        <v>0</v>
      </c>
      <c r="D60" s="13">
        <v>1</v>
      </c>
      <c r="E60" s="13">
        <v>8</v>
      </c>
      <c r="F60" s="13">
        <v>14</v>
      </c>
      <c r="G60" s="13">
        <v>27</v>
      </c>
      <c r="H60" s="13">
        <v>38</v>
      </c>
      <c r="I60" s="16">
        <v>40</v>
      </c>
      <c r="J60" s="16">
        <v>50</v>
      </c>
      <c r="K60" s="16">
        <v>83</v>
      </c>
      <c r="L60" s="40">
        <v>104</v>
      </c>
      <c r="M60" s="40">
        <v>115</v>
      </c>
      <c r="N60" s="40">
        <v>123</v>
      </c>
      <c r="O60" s="1458">
        <v>123</v>
      </c>
      <c r="P60" s="40">
        <v>123</v>
      </c>
      <c r="Q60" s="40">
        <v>123</v>
      </c>
      <c r="R60" s="1459">
        <v>124</v>
      </c>
      <c r="S60" s="1460">
        <v>124</v>
      </c>
      <c r="T60" s="4">
        <v>124</v>
      </c>
      <c r="U60" s="4">
        <v>124</v>
      </c>
      <c r="V60" s="1461">
        <v>125</v>
      </c>
      <c r="W60" s="1460">
        <v>124</v>
      </c>
      <c r="X60" s="4">
        <v>124</v>
      </c>
      <c r="Y60" s="4">
        <v>125</v>
      </c>
      <c r="Z60" s="1461">
        <v>125</v>
      </c>
      <c r="AA60" s="4">
        <v>125</v>
      </c>
      <c r="AB60" s="4">
        <v>125</v>
      </c>
      <c r="AC60" s="4">
        <v>124</v>
      </c>
      <c r="AD60" s="4">
        <v>124</v>
      </c>
      <c r="AE60" s="1460">
        <v>122</v>
      </c>
      <c r="AF60" s="4">
        <v>122</v>
      </c>
      <c r="AG60" s="4">
        <v>122</v>
      </c>
      <c r="AH60" s="1461">
        <v>122</v>
      </c>
      <c r="AI60" s="1460">
        <v>122</v>
      </c>
      <c r="AJ60" s="4">
        <v>122</v>
      </c>
      <c r="AK60" s="4">
        <v>122</v>
      </c>
      <c r="AL60" s="1461">
        <v>123</v>
      </c>
      <c r="AM60" s="4">
        <v>122</v>
      </c>
      <c r="AN60" s="4"/>
      <c r="AO60" s="1461"/>
    </row>
    <row r="61" spans="2:41" s="40" customFormat="1">
      <c r="B61" s="92" t="s">
        <v>198</v>
      </c>
      <c r="C61" s="13"/>
      <c r="D61" s="13"/>
      <c r="E61" s="13"/>
      <c r="F61" s="13"/>
      <c r="G61" s="13"/>
      <c r="H61" s="13"/>
      <c r="I61" s="13">
        <v>5</v>
      </c>
      <c r="J61" s="13">
        <v>12</v>
      </c>
      <c r="K61" s="13">
        <v>270</v>
      </c>
      <c r="L61" s="40">
        <v>444</v>
      </c>
      <c r="M61" s="40">
        <v>576</v>
      </c>
      <c r="N61" s="40">
        <v>679</v>
      </c>
      <c r="O61" s="1458">
        <v>698</v>
      </c>
      <c r="P61" s="40">
        <v>728</v>
      </c>
      <c r="Q61" s="40">
        <v>771</v>
      </c>
      <c r="R61" s="1459">
        <v>841</v>
      </c>
      <c r="S61" s="1460">
        <v>904</v>
      </c>
      <c r="T61" s="4">
        <v>958</v>
      </c>
      <c r="U61" s="4">
        <v>1025</v>
      </c>
      <c r="V61" s="1461">
        <v>1049</v>
      </c>
      <c r="W61" s="1460">
        <v>1097</v>
      </c>
      <c r="X61" s="4">
        <v>1114</v>
      </c>
      <c r="Y61" s="4">
        <v>1144</v>
      </c>
      <c r="Z61" s="1461">
        <v>1180</v>
      </c>
      <c r="AA61" s="4">
        <v>1208</v>
      </c>
      <c r="AB61" s="4">
        <v>1238</v>
      </c>
      <c r="AC61" s="4">
        <v>1256</v>
      </c>
      <c r="AD61" s="4">
        <v>1290</v>
      </c>
      <c r="AE61" s="1460">
        <v>1309</v>
      </c>
      <c r="AF61" s="4">
        <v>1308</v>
      </c>
      <c r="AG61" s="4">
        <v>1316</v>
      </c>
      <c r="AH61" s="1461">
        <v>1323</v>
      </c>
      <c r="AI61" s="1460">
        <v>1339</v>
      </c>
      <c r="AJ61" s="4">
        <v>1346</v>
      </c>
      <c r="AK61" s="4">
        <v>1352</v>
      </c>
      <c r="AL61" s="1461">
        <v>1363</v>
      </c>
      <c r="AM61" s="4">
        <v>1377</v>
      </c>
      <c r="AN61" s="4"/>
      <c r="AO61" s="1461"/>
    </row>
    <row r="62" spans="2:41" s="40" customFormat="1">
      <c r="B62" s="14"/>
      <c r="C62" s="1362">
        <v>0</v>
      </c>
      <c r="D62" s="1362">
        <v>0</v>
      </c>
      <c r="E62" s="1362">
        <v>0</v>
      </c>
      <c r="F62" s="1362">
        <v>0</v>
      </c>
      <c r="G62" s="1362">
        <v>0</v>
      </c>
      <c r="H62" s="1362">
        <v>62</v>
      </c>
      <c r="I62" s="1362">
        <v>184</v>
      </c>
      <c r="J62" s="1362">
        <v>196</v>
      </c>
      <c r="K62" s="1363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2:41" s="46" customFormat="1">
      <c r="B63" s="1364" t="s">
        <v>132</v>
      </c>
      <c r="C63" s="1365"/>
      <c r="D63" s="1365"/>
      <c r="E63" s="1365"/>
      <c r="F63" s="1365"/>
      <c r="G63" s="1365"/>
      <c r="H63" s="1365"/>
      <c r="I63" s="1365"/>
      <c r="J63" s="1365"/>
      <c r="K63" s="1365">
        <v>397</v>
      </c>
      <c r="L63" s="1366">
        <v>451</v>
      </c>
      <c r="M63" s="1366">
        <v>497</v>
      </c>
      <c r="N63" s="1366">
        <v>530</v>
      </c>
      <c r="O63" s="1464">
        <v>528</v>
      </c>
      <c r="P63" s="1366">
        <v>536</v>
      </c>
      <c r="Q63" s="1366">
        <v>556</v>
      </c>
      <c r="R63" s="1465">
        <v>583</v>
      </c>
      <c r="S63" s="1486">
        <v>594</v>
      </c>
      <c r="T63" s="1487">
        <v>597</v>
      </c>
      <c r="U63" s="1487">
        <v>614</v>
      </c>
      <c r="V63" s="1488">
        <v>617</v>
      </c>
      <c r="W63" s="1486">
        <v>623</v>
      </c>
      <c r="X63" s="1487">
        <v>626</v>
      </c>
      <c r="Y63" s="1487">
        <v>636</v>
      </c>
      <c r="Z63" s="1488">
        <v>653</v>
      </c>
      <c r="AA63" s="1487">
        <v>658</v>
      </c>
      <c r="AB63" s="1487">
        <v>670</v>
      </c>
      <c r="AC63" s="1487">
        <v>696</v>
      </c>
      <c r="AD63" s="1487">
        <v>736</v>
      </c>
      <c r="AE63" s="1486">
        <v>758</v>
      </c>
      <c r="AF63" s="1487">
        <v>759</v>
      </c>
      <c r="AG63" s="1487">
        <v>784</v>
      </c>
      <c r="AH63" s="1488">
        <v>792</v>
      </c>
      <c r="AI63" s="1486">
        <v>817</v>
      </c>
      <c r="AJ63" s="1487">
        <v>840</v>
      </c>
      <c r="AK63" s="1487">
        <v>860</v>
      </c>
      <c r="AL63" s="1488">
        <v>894</v>
      </c>
      <c r="AM63" s="1487">
        <v>935</v>
      </c>
      <c r="AN63" s="1487">
        <v>0</v>
      </c>
      <c r="AO63" s="1488">
        <v>0</v>
      </c>
    </row>
    <row r="64" spans="2:41" s="40" customFormat="1">
      <c r="B64" s="91" t="s">
        <v>1231</v>
      </c>
      <c r="C64" s="13">
        <v>120</v>
      </c>
      <c r="D64" s="13">
        <v>144</v>
      </c>
      <c r="E64" s="13">
        <v>171</v>
      </c>
      <c r="F64" s="13">
        <v>214</v>
      </c>
      <c r="G64" s="13">
        <v>260</v>
      </c>
      <c r="H64" s="13">
        <v>289</v>
      </c>
      <c r="I64" s="16">
        <v>317</v>
      </c>
      <c r="J64" s="16">
        <v>320</v>
      </c>
      <c r="K64" s="16">
        <v>330</v>
      </c>
      <c r="L64" s="40">
        <v>353</v>
      </c>
      <c r="M64" s="40">
        <v>363</v>
      </c>
      <c r="N64" s="40">
        <v>373</v>
      </c>
      <c r="O64" s="1458">
        <v>368</v>
      </c>
      <c r="P64" s="40">
        <v>370</v>
      </c>
      <c r="Q64" s="40">
        <v>378</v>
      </c>
      <c r="R64" s="1459">
        <v>393</v>
      </c>
      <c r="S64" s="1460">
        <v>396</v>
      </c>
      <c r="T64" s="4">
        <v>397</v>
      </c>
      <c r="U64" s="4">
        <v>403</v>
      </c>
      <c r="V64" s="1461">
        <v>403</v>
      </c>
      <c r="W64" s="1460">
        <v>403</v>
      </c>
      <c r="X64" s="4">
        <v>406</v>
      </c>
      <c r="Y64" s="4">
        <v>414</v>
      </c>
      <c r="Z64" s="1461">
        <v>421</v>
      </c>
      <c r="AA64" s="4">
        <v>424</v>
      </c>
      <c r="AB64" s="4">
        <v>432</v>
      </c>
      <c r="AC64" s="4">
        <v>445</v>
      </c>
      <c r="AD64" s="4">
        <v>476</v>
      </c>
      <c r="AE64" s="1460">
        <v>490</v>
      </c>
      <c r="AF64" s="4">
        <v>491</v>
      </c>
      <c r="AG64" s="4">
        <v>513</v>
      </c>
      <c r="AH64" s="1461">
        <v>518</v>
      </c>
      <c r="AI64" s="1460">
        <v>542</v>
      </c>
      <c r="AJ64" s="4">
        <v>560</v>
      </c>
      <c r="AK64" s="4">
        <v>576</v>
      </c>
      <c r="AL64" s="1461">
        <v>603</v>
      </c>
      <c r="AM64" s="4">
        <v>640</v>
      </c>
      <c r="AN64" s="4"/>
      <c r="AO64" s="1461"/>
    </row>
    <row r="65" spans="1:41" s="40" customFormat="1">
      <c r="B65" s="91" t="s">
        <v>1233</v>
      </c>
      <c r="C65" s="1362"/>
      <c r="D65" s="1362"/>
      <c r="E65" s="1362"/>
      <c r="F65" s="1362"/>
      <c r="G65" s="1362"/>
      <c r="H65" s="1362"/>
      <c r="I65" s="1362"/>
      <c r="J65" s="1362"/>
      <c r="K65" s="1363"/>
      <c r="O65" s="1447"/>
      <c r="P65" s="1428"/>
      <c r="Q65" s="1428"/>
      <c r="R65" s="1448"/>
      <c r="S65" s="1491" t="s">
        <v>100</v>
      </c>
      <c r="T65" s="1492" t="s">
        <v>100</v>
      </c>
      <c r="U65" s="1492" t="s">
        <v>100</v>
      </c>
      <c r="V65" s="1493" t="s">
        <v>100</v>
      </c>
      <c r="W65" s="1491" t="s">
        <v>100</v>
      </c>
      <c r="X65" s="1492" t="s">
        <v>100</v>
      </c>
      <c r="Y65" s="1492" t="s">
        <v>100</v>
      </c>
      <c r="Z65" s="1493" t="s">
        <v>100</v>
      </c>
      <c r="AA65" s="1492" t="s">
        <v>100</v>
      </c>
      <c r="AB65" s="1492" t="s">
        <v>100</v>
      </c>
      <c r="AC65" s="37">
        <v>0</v>
      </c>
      <c r="AD65" s="37">
        <v>0</v>
      </c>
      <c r="AE65" s="1483">
        <v>0</v>
      </c>
      <c r="AF65" s="1514"/>
      <c r="AG65" s="1514"/>
      <c r="AH65" s="1519"/>
      <c r="AI65" s="1483"/>
      <c r="AJ65" s="1514"/>
      <c r="AK65" s="1514"/>
      <c r="AL65" s="1519"/>
      <c r="AM65" s="1514"/>
      <c r="AN65" s="1514"/>
      <c r="AO65" s="1519"/>
    </row>
    <row r="66" spans="1:41" s="40" customFormat="1">
      <c r="B66" s="91" t="s">
        <v>1232</v>
      </c>
      <c r="C66" s="13">
        <v>0</v>
      </c>
      <c r="D66" s="13">
        <v>0</v>
      </c>
      <c r="E66" s="13">
        <v>0</v>
      </c>
      <c r="F66" s="13">
        <v>0</v>
      </c>
      <c r="G66" s="13">
        <v>3</v>
      </c>
      <c r="H66" s="13">
        <v>6</v>
      </c>
      <c r="I66" s="16">
        <v>6</v>
      </c>
      <c r="J66" s="16">
        <v>6</v>
      </c>
      <c r="K66" s="16">
        <v>10</v>
      </c>
      <c r="L66" s="40">
        <v>13</v>
      </c>
      <c r="M66" s="40">
        <v>19</v>
      </c>
      <c r="N66" s="40">
        <v>19</v>
      </c>
      <c r="O66" s="1458">
        <v>19</v>
      </c>
      <c r="P66" s="40">
        <v>19</v>
      </c>
      <c r="Q66" s="40">
        <v>19</v>
      </c>
      <c r="R66" s="1459">
        <v>19</v>
      </c>
      <c r="S66" s="1460">
        <v>19</v>
      </c>
      <c r="T66" s="4">
        <v>19</v>
      </c>
      <c r="U66" s="4">
        <v>19</v>
      </c>
      <c r="V66" s="1461">
        <v>19</v>
      </c>
      <c r="W66" s="1460">
        <v>19</v>
      </c>
      <c r="X66" s="4">
        <v>19</v>
      </c>
      <c r="Y66" s="4">
        <v>19</v>
      </c>
      <c r="Z66" s="1461">
        <v>19</v>
      </c>
      <c r="AA66" s="4">
        <v>19</v>
      </c>
      <c r="AB66" s="4">
        <v>19</v>
      </c>
      <c r="AC66" s="4">
        <v>19</v>
      </c>
      <c r="AD66" s="4">
        <v>19</v>
      </c>
      <c r="AE66" s="1460">
        <v>19</v>
      </c>
      <c r="AF66" s="4">
        <v>19</v>
      </c>
      <c r="AG66" s="4">
        <v>19</v>
      </c>
      <c r="AH66" s="1461">
        <v>19</v>
      </c>
      <c r="AI66" s="1460">
        <v>19</v>
      </c>
      <c r="AJ66" s="4">
        <v>19</v>
      </c>
      <c r="AK66" s="4">
        <v>19</v>
      </c>
      <c r="AL66" s="1461">
        <v>19</v>
      </c>
      <c r="AM66" s="4">
        <v>19</v>
      </c>
      <c r="AN66" s="4"/>
      <c r="AO66" s="1461"/>
    </row>
    <row r="67" spans="1:41" s="40" customFormat="1">
      <c r="B67" s="92" t="s">
        <v>198</v>
      </c>
      <c r="C67" s="13"/>
      <c r="D67" s="13"/>
      <c r="E67" s="13"/>
      <c r="F67" s="13"/>
      <c r="G67" s="13"/>
      <c r="H67" s="13"/>
      <c r="I67" s="16">
        <v>1</v>
      </c>
      <c r="J67" s="16">
        <v>2</v>
      </c>
      <c r="K67" s="16">
        <v>57</v>
      </c>
      <c r="L67" s="40">
        <v>85</v>
      </c>
      <c r="M67" s="40">
        <v>115</v>
      </c>
      <c r="N67" s="40">
        <v>138</v>
      </c>
      <c r="O67" s="1458">
        <v>141</v>
      </c>
      <c r="P67" s="40">
        <v>147</v>
      </c>
      <c r="Q67" s="40">
        <v>159</v>
      </c>
      <c r="R67" s="1459">
        <v>171</v>
      </c>
      <c r="S67" s="1460">
        <v>179</v>
      </c>
      <c r="T67" s="4">
        <v>181</v>
      </c>
      <c r="U67" s="4">
        <v>192</v>
      </c>
      <c r="V67" s="1461">
        <v>195</v>
      </c>
      <c r="W67" s="1460">
        <v>201</v>
      </c>
      <c r="X67" s="4">
        <v>201</v>
      </c>
      <c r="Y67" s="4">
        <v>203</v>
      </c>
      <c r="Z67" s="1461">
        <v>213</v>
      </c>
      <c r="AA67" s="4">
        <v>215</v>
      </c>
      <c r="AB67" s="4">
        <v>219</v>
      </c>
      <c r="AC67" s="4">
        <v>232</v>
      </c>
      <c r="AD67" s="4">
        <v>241</v>
      </c>
      <c r="AE67" s="1460">
        <v>249</v>
      </c>
      <c r="AF67" s="4">
        <v>249</v>
      </c>
      <c r="AG67" s="4">
        <v>252</v>
      </c>
      <c r="AH67" s="1461">
        <v>255</v>
      </c>
      <c r="AI67" s="1460">
        <v>256</v>
      </c>
      <c r="AJ67" s="4">
        <v>261</v>
      </c>
      <c r="AK67" s="4">
        <v>265</v>
      </c>
      <c r="AL67" s="1461">
        <v>272</v>
      </c>
      <c r="AM67" s="4">
        <v>276</v>
      </c>
      <c r="AN67" s="4"/>
      <c r="AO67" s="1461"/>
    </row>
    <row r="68" spans="1:41" s="40" customFormat="1">
      <c r="B68" s="14"/>
      <c r="C68" s="1362"/>
      <c r="D68" s="1362"/>
      <c r="E68" s="1362"/>
      <c r="F68" s="1362"/>
      <c r="G68" s="1362"/>
      <c r="H68" s="1362"/>
      <c r="I68" s="1362"/>
      <c r="J68" s="1362"/>
      <c r="K68" s="1363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s="46" customFormat="1">
      <c r="B69" s="1364" t="s">
        <v>102</v>
      </c>
      <c r="C69" s="1365"/>
      <c r="D69" s="1365"/>
      <c r="E69" s="1365"/>
      <c r="F69" s="1365"/>
      <c r="G69" s="1365"/>
      <c r="H69" s="1365"/>
      <c r="I69" s="1365"/>
      <c r="J69" s="1365"/>
      <c r="K69" s="1365">
        <v>248</v>
      </c>
      <c r="L69" s="1366">
        <v>428</v>
      </c>
      <c r="M69" s="1366">
        <v>586</v>
      </c>
      <c r="N69" s="1366">
        <v>763</v>
      </c>
      <c r="O69" s="1464">
        <v>788</v>
      </c>
      <c r="P69" s="1366">
        <v>819</v>
      </c>
      <c r="Q69" s="1366">
        <v>871</v>
      </c>
      <c r="R69" s="1465">
        <v>950</v>
      </c>
      <c r="S69" s="1486">
        <v>1024</v>
      </c>
      <c r="T69" s="1487">
        <v>1095</v>
      </c>
      <c r="U69" s="1487">
        <v>1168</v>
      </c>
      <c r="V69" s="1488">
        <v>1215</v>
      </c>
      <c r="W69" s="1486">
        <v>1208</v>
      </c>
      <c r="X69" s="1487">
        <v>1219</v>
      </c>
      <c r="Y69" s="1487">
        <v>1233</v>
      </c>
      <c r="Z69" s="1488">
        <v>1271</v>
      </c>
      <c r="AA69" s="1487">
        <v>1290</v>
      </c>
      <c r="AB69" s="1487">
        <v>1336</v>
      </c>
      <c r="AC69" s="1487">
        <v>1381</v>
      </c>
      <c r="AD69" s="1487">
        <v>1465</v>
      </c>
      <c r="AE69" s="1486">
        <v>1519</v>
      </c>
      <c r="AF69" s="1487">
        <v>1527</v>
      </c>
      <c r="AG69" s="1487">
        <v>1556</v>
      </c>
      <c r="AH69" s="1488">
        <v>1592</v>
      </c>
      <c r="AI69" s="1486">
        <v>1642</v>
      </c>
      <c r="AJ69" s="1487">
        <v>1686</v>
      </c>
      <c r="AK69" s="1487">
        <v>1725</v>
      </c>
      <c r="AL69" s="1488">
        <v>1781</v>
      </c>
      <c r="AM69" s="1487">
        <v>1883</v>
      </c>
      <c r="AN69" s="1487">
        <v>0</v>
      </c>
      <c r="AO69" s="1488">
        <v>0</v>
      </c>
    </row>
    <row r="70" spans="1:41" s="40" customFormat="1">
      <c r="B70" s="91" t="s">
        <v>1231</v>
      </c>
      <c r="C70" s="13">
        <v>0</v>
      </c>
      <c r="D70" s="13">
        <v>0</v>
      </c>
      <c r="E70" s="13">
        <v>0</v>
      </c>
      <c r="F70" s="13">
        <v>0</v>
      </c>
      <c r="G70" s="13">
        <v>21</v>
      </c>
      <c r="H70" s="13">
        <v>56</v>
      </c>
      <c r="I70" s="13">
        <v>79</v>
      </c>
      <c r="J70" s="13">
        <v>108</v>
      </c>
      <c r="K70" s="13">
        <v>219</v>
      </c>
      <c r="L70" s="40">
        <v>336</v>
      </c>
      <c r="M70" s="40">
        <v>416</v>
      </c>
      <c r="N70" s="40">
        <v>568</v>
      </c>
      <c r="O70" s="1458">
        <v>585</v>
      </c>
      <c r="P70" s="40">
        <v>616</v>
      </c>
      <c r="Q70" s="40">
        <v>664</v>
      </c>
      <c r="R70" s="1459">
        <v>720</v>
      </c>
      <c r="S70" s="1460">
        <v>762</v>
      </c>
      <c r="T70" s="4">
        <v>802</v>
      </c>
      <c r="U70" s="4">
        <v>843</v>
      </c>
      <c r="V70" s="1461">
        <v>875</v>
      </c>
      <c r="W70" s="1460">
        <v>866</v>
      </c>
      <c r="X70" s="4">
        <v>873</v>
      </c>
      <c r="Y70" s="4">
        <v>884</v>
      </c>
      <c r="Z70" s="1461">
        <v>901</v>
      </c>
      <c r="AA70" s="4">
        <v>913</v>
      </c>
      <c r="AB70" s="4">
        <v>933</v>
      </c>
      <c r="AC70" s="4">
        <v>958</v>
      </c>
      <c r="AD70" s="4">
        <v>1010</v>
      </c>
      <c r="AE70" s="1460">
        <v>1049</v>
      </c>
      <c r="AF70" s="4">
        <v>1056</v>
      </c>
      <c r="AG70" s="4">
        <v>1081</v>
      </c>
      <c r="AH70" s="1461">
        <v>1111</v>
      </c>
      <c r="AI70" s="1460">
        <v>1150</v>
      </c>
      <c r="AJ70" s="4">
        <v>1182</v>
      </c>
      <c r="AK70" s="4">
        <v>1211</v>
      </c>
      <c r="AL70" s="1461">
        <v>1260</v>
      </c>
      <c r="AM70" s="4">
        <v>1343</v>
      </c>
      <c r="AN70" s="4"/>
      <c r="AO70" s="1461"/>
    </row>
    <row r="71" spans="1:41" s="40" customFormat="1">
      <c r="B71" s="91" t="s">
        <v>1233</v>
      </c>
      <c r="C71" s="1362"/>
      <c r="D71" s="1362"/>
      <c r="E71" s="1362"/>
      <c r="F71" s="1362"/>
      <c r="G71" s="1362"/>
      <c r="H71" s="1362"/>
      <c r="I71" s="1362"/>
      <c r="J71" s="1362"/>
      <c r="K71" s="1363"/>
      <c r="O71" s="1447"/>
      <c r="P71" s="1428"/>
      <c r="Q71" s="1428"/>
      <c r="R71" s="1448"/>
      <c r="S71" s="1491" t="s">
        <v>100</v>
      </c>
      <c r="T71" s="1492" t="s">
        <v>100</v>
      </c>
      <c r="U71" s="1492" t="s">
        <v>100</v>
      </c>
      <c r="V71" s="1493" t="s">
        <v>100</v>
      </c>
      <c r="W71" s="1491" t="s">
        <v>100</v>
      </c>
      <c r="X71" s="1492" t="s">
        <v>100</v>
      </c>
      <c r="Y71" s="1492" t="s">
        <v>100</v>
      </c>
      <c r="Z71" s="1493" t="s">
        <v>100</v>
      </c>
      <c r="AA71" s="1492" t="s">
        <v>100</v>
      </c>
      <c r="AB71" s="1492" t="s">
        <v>100</v>
      </c>
      <c r="AC71" s="37">
        <v>0</v>
      </c>
      <c r="AD71" s="37">
        <v>0</v>
      </c>
      <c r="AE71" s="1483">
        <v>0</v>
      </c>
      <c r="AF71" s="1514"/>
      <c r="AG71" s="1514"/>
      <c r="AH71" s="1519"/>
      <c r="AI71" s="1483"/>
      <c r="AJ71" s="1514"/>
      <c r="AK71" s="1514"/>
      <c r="AL71" s="1519"/>
      <c r="AM71" s="1514"/>
      <c r="AN71" s="1514"/>
      <c r="AO71" s="1519"/>
    </row>
    <row r="72" spans="1:41" s="40" customFormat="1">
      <c r="B72" s="91" t="s">
        <v>1232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1</v>
      </c>
      <c r="J72" s="13">
        <v>2</v>
      </c>
      <c r="K72" s="13">
        <v>7</v>
      </c>
      <c r="L72" s="40">
        <v>16</v>
      </c>
      <c r="M72" s="40">
        <v>24</v>
      </c>
      <c r="N72" s="40">
        <v>24</v>
      </c>
      <c r="O72" s="1458">
        <v>24</v>
      </c>
      <c r="P72" s="40">
        <v>25</v>
      </c>
      <c r="Q72" s="40">
        <v>24</v>
      </c>
      <c r="R72" s="1459">
        <v>24</v>
      </c>
      <c r="S72" s="1460">
        <v>24</v>
      </c>
      <c r="T72" s="4">
        <v>24</v>
      </c>
      <c r="U72" s="4">
        <v>24</v>
      </c>
      <c r="V72" s="1461">
        <v>24</v>
      </c>
      <c r="W72" s="1460">
        <v>24</v>
      </c>
      <c r="X72" s="4">
        <v>24</v>
      </c>
      <c r="Y72" s="4">
        <v>23</v>
      </c>
      <c r="Z72" s="1461">
        <v>23</v>
      </c>
      <c r="AA72" s="4">
        <v>23</v>
      </c>
      <c r="AB72" s="4">
        <v>23</v>
      </c>
      <c r="AC72" s="4">
        <v>23</v>
      </c>
      <c r="AD72" s="4">
        <v>24</v>
      </c>
      <c r="AE72" s="1460">
        <v>24</v>
      </c>
      <c r="AF72" s="4">
        <v>24</v>
      </c>
      <c r="AG72" s="4">
        <v>24</v>
      </c>
      <c r="AH72" s="1461">
        <v>24</v>
      </c>
      <c r="AI72" s="1460">
        <v>24</v>
      </c>
      <c r="AJ72" s="4">
        <v>24</v>
      </c>
      <c r="AK72" s="4">
        <v>24</v>
      </c>
      <c r="AL72" s="1461">
        <v>24</v>
      </c>
      <c r="AM72" s="4">
        <v>23</v>
      </c>
      <c r="AN72" s="4"/>
      <c r="AO72" s="1461"/>
    </row>
    <row r="73" spans="1:41" s="40" customFormat="1">
      <c r="B73" s="92" t="s">
        <v>198</v>
      </c>
      <c r="C73" s="13"/>
      <c r="D73" s="13"/>
      <c r="E73" s="13"/>
      <c r="F73" s="13"/>
      <c r="G73" s="13"/>
      <c r="H73" s="13"/>
      <c r="I73" s="13">
        <v>1</v>
      </c>
      <c r="J73" s="13">
        <v>1</v>
      </c>
      <c r="K73" s="13">
        <v>22</v>
      </c>
      <c r="L73" s="40">
        <v>76</v>
      </c>
      <c r="M73" s="40">
        <v>146</v>
      </c>
      <c r="N73" s="40">
        <v>171</v>
      </c>
      <c r="O73" s="1458">
        <v>179</v>
      </c>
      <c r="P73" s="40">
        <v>178</v>
      </c>
      <c r="Q73" s="40">
        <v>183</v>
      </c>
      <c r="R73" s="1459">
        <v>206</v>
      </c>
      <c r="S73" s="1460">
        <v>238</v>
      </c>
      <c r="T73" s="4">
        <v>269</v>
      </c>
      <c r="U73" s="4">
        <v>301</v>
      </c>
      <c r="V73" s="1461">
        <v>316</v>
      </c>
      <c r="W73" s="1460">
        <v>318</v>
      </c>
      <c r="X73" s="4">
        <v>322</v>
      </c>
      <c r="Y73" s="4">
        <v>326</v>
      </c>
      <c r="Z73" s="1461">
        <v>347</v>
      </c>
      <c r="AA73" s="4">
        <v>354</v>
      </c>
      <c r="AB73" s="4">
        <v>380</v>
      </c>
      <c r="AC73" s="4">
        <v>400</v>
      </c>
      <c r="AD73" s="4">
        <v>431</v>
      </c>
      <c r="AE73" s="1460">
        <v>446</v>
      </c>
      <c r="AF73" s="4">
        <v>447</v>
      </c>
      <c r="AG73" s="4">
        <v>451</v>
      </c>
      <c r="AH73" s="1461">
        <v>457</v>
      </c>
      <c r="AI73" s="1460">
        <v>468</v>
      </c>
      <c r="AJ73" s="4">
        <v>480</v>
      </c>
      <c r="AK73" s="4">
        <v>490</v>
      </c>
      <c r="AL73" s="1461">
        <v>497</v>
      </c>
      <c r="AM73" s="4">
        <v>517</v>
      </c>
      <c r="AN73" s="4"/>
      <c r="AO73" s="1461"/>
    </row>
    <row r="74" spans="1:41" s="40" customFormat="1">
      <c r="B74" s="14"/>
      <c r="C74" s="1362"/>
      <c r="D74" s="1362"/>
      <c r="E74" s="1362"/>
      <c r="F74" s="1362"/>
      <c r="G74" s="1362"/>
      <c r="H74" s="1362"/>
      <c r="I74" s="1362"/>
      <c r="J74" s="1362"/>
      <c r="K74" s="1363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s="43" customFormat="1">
      <c r="A75" s="46"/>
      <c r="B75" s="1364" t="s">
        <v>122</v>
      </c>
      <c r="C75" s="1365"/>
      <c r="D75" s="1365"/>
      <c r="E75" s="1365"/>
      <c r="F75" s="1365"/>
      <c r="G75" s="1365"/>
      <c r="H75" s="1365"/>
      <c r="I75" s="1365"/>
      <c r="J75" s="1365"/>
      <c r="K75" s="1365">
        <v>836</v>
      </c>
      <c r="L75" s="1366">
        <v>1105</v>
      </c>
      <c r="M75" s="1366">
        <v>1311</v>
      </c>
      <c r="N75" s="1366">
        <v>1636</v>
      </c>
      <c r="O75" s="1464">
        <v>1677</v>
      </c>
      <c r="P75" s="1366">
        <v>1712</v>
      </c>
      <c r="Q75" s="1366">
        <v>1794</v>
      </c>
      <c r="R75" s="1465">
        <v>1906</v>
      </c>
      <c r="S75" s="1486">
        <v>2025</v>
      </c>
      <c r="T75" s="1487">
        <v>2097</v>
      </c>
      <c r="U75" s="1487">
        <v>2142</v>
      </c>
      <c r="V75" s="1488">
        <v>2135</v>
      </c>
      <c r="W75" s="1486">
        <v>2144</v>
      </c>
      <c r="X75" s="1487">
        <v>2148</v>
      </c>
      <c r="Y75" s="1487">
        <v>2175</v>
      </c>
      <c r="Z75" s="1488">
        <v>2211</v>
      </c>
      <c r="AA75" s="1487">
        <v>2269</v>
      </c>
      <c r="AB75" s="1487">
        <v>2323</v>
      </c>
      <c r="AC75" s="1487">
        <v>2509</v>
      </c>
      <c r="AD75" s="1487">
        <v>2568</v>
      </c>
      <c r="AE75" s="1486">
        <v>2607</v>
      </c>
      <c r="AF75" s="1487">
        <v>2622</v>
      </c>
      <c r="AG75" s="1487">
        <v>2673</v>
      </c>
      <c r="AH75" s="1488">
        <v>2720</v>
      </c>
      <c r="AI75" s="1486">
        <v>2781</v>
      </c>
      <c r="AJ75" s="1487">
        <v>2840</v>
      </c>
      <c r="AK75" s="1487">
        <v>2881</v>
      </c>
      <c r="AL75" s="1488">
        <v>2913</v>
      </c>
      <c r="AM75" s="1487">
        <v>3010</v>
      </c>
      <c r="AN75" s="1487">
        <v>0</v>
      </c>
      <c r="AO75" s="1488">
        <v>0</v>
      </c>
    </row>
    <row r="76" spans="1:41">
      <c r="A76" s="40"/>
      <c r="B76" s="91" t="s">
        <v>1231</v>
      </c>
      <c r="C76" s="13">
        <v>26</v>
      </c>
      <c r="D76" s="13">
        <v>38</v>
      </c>
      <c r="E76" s="13">
        <v>67</v>
      </c>
      <c r="F76" s="13">
        <v>139</v>
      </c>
      <c r="G76" s="13">
        <v>238</v>
      </c>
      <c r="H76" s="13">
        <v>352</v>
      </c>
      <c r="I76" s="16">
        <v>485</v>
      </c>
      <c r="J76" s="16">
        <v>609</v>
      </c>
      <c r="K76" s="16">
        <v>731</v>
      </c>
      <c r="L76" s="4">
        <v>866</v>
      </c>
      <c r="M76" s="4">
        <v>961</v>
      </c>
      <c r="N76" s="4">
        <v>1178</v>
      </c>
      <c r="O76" s="1460">
        <v>1194</v>
      </c>
      <c r="P76" s="4">
        <v>1218</v>
      </c>
      <c r="Q76" s="4">
        <v>1267</v>
      </c>
      <c r="R76" s="1461">
        <v>1331</v>
      </c>
      <c r="S76" s="1460">
        <v>1389</v>
      </c>
      <c r="T76" s="4">
        <v>1429</v>
      </c>
      <c r="U76" s="4">
        <v>1450</v>
      </c>
      <c r="V76" s="1461">
        <v>1442</v>
      </c>
      <c r="W76" s="1460">
        <v>1447</v>
      </c>
      <c r="X76" s="4">
        <v>1442</v>
      </c>
      <c r="Y76" s="4">
        <v>1450</v>
      </c>
      <c r="Z76" s="1461">
        <v>1465</v>
      </c>
      <c r="AA76" s="4">
        <v>1503</v>
      </c>
      <c r="AB76" s="4">
        <v>1535</v>
      </c>
      <c r="AC76" s="4">
        <v>1570</v>
      </c>
      <c r="AD76" s="4">
        <v>1630</v>
      </c>
      <c r="AE76" s="1460">
        <v>1715</v>
      </c>
      <c r="AF76" s="4">
        <v>1733</v>
      </c>
      <c r="AG76" s="4">
        <v>1775</v>
      </c>
      <c r="AH76" s="1461">
        <v>1812</v>
      </c>
      <c r="AI76" s="1460">
        <v>1855</v>
      </c>
      <c r="AJ76" s="4">
        <v>1898</v>
      </c>
      <c r="AK76" s="4">
        <v>1932</v>
      </c>
      <c r="AL76" s="1461">
        <v>1958</v>
      </c>
      <c r="AM76" s="4">
        <v>2036</v>
      </c>
      <c r="AO76" s="1461"/>
    </row>
    <row r="77" spans="1:41">
      <c r="A77" s="40"/>
      <c r="B77" s="91" t="s">
        <v>1233</v>
      </c>
      <c r="C77" s="1362"/>
      <c r="D77" s="1362"/>
      <c r="E77" s="1362"/>
      <c r="F77" s="1362"/>
      <c r="G77" s="1362"/>
      <c r="H77" s="1362"/>
      <c r="I77" s="1362"/>
      <c r="J77" s="1362"/>
      <c r="K77" s="1363"/>
      <c r="O77" s="1447"/>
      <c r="P77" s="1428"/>
      <c r="Q77" s="1428"/>
      <c r="R77" s="1448"/>
      <c r="S77" s="1491" t="s">
        <v>100</v>
      </c>
      <c r="T77" s="1492" t="s">
        <v>100</v>
      </c>
      <c r="U77" s="1492" t="s">
        <v>100</v>
      </c>
      <c r="V77" s="1493" t="s">
        <v>100</v>
      </c>
      <c r="W77" s="1491" t="s">
        <v>100</v>
      </c>
      <c r="X77" s="1492" t="s">
        <v>100</v>
      </c>
      <c r="Y77" s="1492" t="s">
        <v>100</v>
      </c>
      <c r="Z77" s="1493" t="s">
        <v>100</v>
      </c>
      <c r="AA77" s="1492" t="s">
        <v>100</v>
      </c>
      <c r="AB77" s="1492" t="s">
        <v>100</v>
      </c>
      <c r="AC77" s="48">
        <v>94</v>
      </c>
      <c r="AD77" s="4">
        <v>71</v>
      </c>
      <c r="AE77" s="1518"/>
      <c r="AF77" s="1514"/>
      <c r="AG77" s="1514"/>
      <c r="AH77" s="1519"/>
      <c r="AI77" s="1518"/>
      <c r="AJ77" s="1514"/>
      <c r="AK77" s="1514"/>
      <c r="AL77" s="1519"/>
      <c r="AM77" s="1514"/>
      <c r="AN77" s="1514"/>
      <c r="AO77" s="1519"/>
    </row>
    <row r="78" spans="1:41">
      <c r="A78" s="40"/>
      <c r="B78" s="91" t="s">
        <v>1232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2</v>
      </c>
      <c r="I78" s="13">
        <v>8</v>
      </c>
      <c r="J78" s="13">
        <v>15</v>
      </c>
      <c r="K78" s="13">
        <v>29</v>
      </c>
      <c r="L78" s="4">
        <v>39</v>
      </c>
      <c r="M78" s="4">
        <v>46</v>
      </c>
      <c r="N78" s="4">
        <v>51</v>
      </c>
      <c r="O78" s="1460">
        <v>51</v>
      </c>
      <c r="P78" s="4">
        <v>51</v>
      </c>
      <c r="Q78" s="4">
        <v>53</v>
      </c>
      <c r="R78" s="1461">
        <v>55</v>
      </c>
      <c r="S78" s="1460">
        <v>55</v>
      </c>
      <c r="T78" s="4">
        <v>55</v>
      </c>
      <c r="U78" s="4">
        <v>53</v>
      </c>
      <c r="V78" s="1461">
        <v>54</v>
      </c>
      <c r="W78" s="1460">
        <v>54</v>
      </c>
      <c r="X78" s="4">
        <v>55</v>
      </c>
      <c r="Y78" s="4">
        <v>54</v>
      </c>
      <c r="Z78" s="1461">
        <v>54</v>
      </c>
      <c r="AA78" s="4">
        <v>54</v>
      </c>
      <c r="AB78" s="4">
        <v>53</v>
      </c>
      <c r="AC78" s="4">
        <v>53</v>
      </c>
      <c r="AD78" s="4">
        <v>53</v>
      </c>
      <c r="AE78" s="1460">
        <v>53</v>
      </c>
      <c r="AF78" s="4">
        <v>56</v>
      </c>
      <c r="AG78" s="4">
        <v>82</v>
      </c>
      <c r="AH78" s="1461">
        <v>82</v>
      </c>
      <c r="AI78" s="1460">
        <v>82</v>
      </c>
      <c r="AJ78" s="4">
        <v>82</v>
      </c>
      <c r="AK78" s="4">
        <v>82</v>
      </c>
      <c r="AL78" s="1461">
        <v>82</v>
      </c>
      <c r="AM78" s="4">
        <v>81</v>
      </c>
      <c r="AO78" s="1461"/>
    </row>
    <row r="79" spans="1:41">
      <c r="A79" s="40"/>
      <c r="B79" s="92" t="s">
        <v>198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 t="s">
        <v>19</v>
      </c>
      <c r="I79" s="13">
        <v>1</v>
      </c>
      <c r="J79" s="13">
        <v>3</v>
      </c>
      <c r="K79" s="13">
        <v>76</v>
      </c>
      <c r="L79" s="4">
        <v>200</v>
      </c>
      <c r="M79" s="4">
        <v>304</v>
      </c>
      <c r="N79" s="4">
        <v>407</v>
      </c>
      <c r="O79" s="1460">
        <v>432</v>
      </c>
      <c r="P79" s="4">
        <v>443</v>
      </c>
      <c r="Q79" s="4">
        <v>474</v>
      </c>
      <c r="R79" s="1461">
        <v>520</v>
      </c>
      <c r="S79" s="1460">
        <v>581</v>
      </c>
      <c r="T79" s="4">
        <v>613</v>
      </c>
      <c r="U79" s="4">
        <v>639</v>
      </c>
      <c r="V79" s="1461">
        <v>639</v>
      </c>
      <c r="W79" s="1460">
        <v>643</v>
      </c>
      <c r="X79" s="4">
        <v>651</v>
      </c>
      <c r="Y79" s="4">
        <v>671</v>
      </c>
      <c r="Z79" s="1461">
        <v>692</v>
      </c>
      <c r="AA79" s="4">
        <v>712</v>
      </c>
      <c r="AB79" s="4">
        <v>735</v>
      </c>
      <c r="AC79" s="4">
        <v>753</v>
      </c>
      <c r="AD79" s="4">
        <v>775</v>
      </c>
      <c r="AE79" s="1460">
        <v>801</v>
      </c>
      <c r="AF79" s="4">
        <v>804</v>
      </c>
      <c r="AG79" s="4">
        <v>816</v>
      </c>
      <c r="AH79" s="1461">
        <v>826</v>
      </c>
      <c r="AI79" s="1460">
        <v>844</v>
      </c>
      <c r="AJ79" s="4">
        <v>860</v>
      </c>
      <c r="AK79" s="4">
        <v>867</v>
      </c>
      <c r="AL79" s="1461">
        <v>873</v>
      </c>
      <c r="AM79" s="4">
        <v>893</v>
      </c>
      <c r="AO79" s="1461"/>
    </row>
    <row r="80" spans="1:41">
      <c r="A80" s="40"/>
      <c r="B80" s="14"/>
      <c r="C80" s="1362"/>
      <c r="D80" s="1362"/>
      <c r="E80" s="1362"/>
      <c r="F80" s="1362"/>
      <c r="G80" s="1362"/>
      <c r="H80" s="1362"/>
      <c r="I80" s="1362"/>
      <c r="J80" s="1362"/>
      <c r="K80" s="1363"/>
    </row>
    <row r="81" spans="1:41" s="43" customFormat="1">
      <c r="A81" s="46"/>
      <c r="B81" s="1364" t="s">
        <v>101</v>
      </c>
      <c r="C81" s="1365"/>
      <c r="D81" s="1365"/>
      <c r="E81" s="1365"/>
      <c r="F81" s="1365"/>
      <c r="G81" s="1365"/>
      <c r="H81" s="1365"/>
      <c r="I81" s="1365"/>
      <c r="J81" s="1365"/>
      <c r="K81" s="1365">
        <v>3018</v>
      </c>
      <c r="L81" s="1366">
        <v>3580</v>
      </c>
      <c r="M81" s="1366">
        <v>4118</v>
      </c>
      <c r="N81" s="1366">
        <v>4656</v>
      </c>
      <c r="O81" s="1464">
        <v>4716</v>
      </c>
      <c r="P81" s="1366">
        <v>4788</v>
      </c>
      <c r="Q81" s="1366">
        <v>4855</v>
      </c>
      <c r="R81" s="1465">
        <v>5073</v>
      </c>
      <c r="S81" s="1486">
        <v>5273</v>
      </c>
      <c r="T81" s="1487">
        <v>5419</v>
      </c>
      <c r="U81" s="1487">
        <v>5546</v>
      </c>
      <c r="V81" s="1488">
        <v>5557</v>
      </c>
      <c r="W81" s="1486">
        <v>5571</v>
      </c>
      <c r="X81" s="1487">
        <v>5555</v>
      </c>
      <c r="Y81" s="1487">
        <v>5614</v>
      </c>
      <c r="Z81" s="1488">
        <v>5701</v>
      </c>
      <c r="AA81" s="1487">
        <v>5776</v>
      </c>
      <c r="AB81" s="1487">
        <v>5888</v>
      </c>
      <c r="AC81" s="1487">
        <v>6004</v>
      </c>
      <c r="AD81" s="1487">
        <v>6191</v>
      </c>
      <c r="AE81" s="1486">
        <v>6346</v>
      </c>
      <c r="AF81" s="1487">
        <v>6402</v>
      </c>
      <c r="AG81" s="1487">
        <v>6488</v>
      </c>
      <c r="AH81" s="1488">
        <v>6564</v>
      </c>
      <c r="AI81" s="1486">
        <v>6677</v>
      </c>
      <c r="AJ81" s="1487">
        <v>6774</v>
      </c>
      <c r="AK81" s="1487">
        <v>6853</v>
      </c>
      <c r="AL81" s="1488">
        <v>6936</v>
      </c>
      <c r="AM81" s="1487">
        <v>7142</v>
      </c>
      <c r="AN81" s="1487">
        <v>0</v>
      </c>
      <c r="AO81" s="1488">
        <v>0</v>
      </c>
    </row>
    <row r="82" spans="1:41">
      <c r="A82" s="40"/>
      <c r="B82" s="91" t="s">
        <v>1231</v>
      </c>
      <c r="C82" s="16">
        <v>540</v>
      </c>
      <c r="D82" s="16">
        <v>635</v>
      </c>
      <c r="E82" s="16">
        <v>743</v>
      </c>
      <c r="F82" s="16">
        <v>957</v>
      </c>
      <c r="G82" s="16">
        <v>1263</v>
      </c>
      <c r="H82" s="16">
        <v>1635</v>
      </c>
      <c r="I82" s="16">
        <v>1982</v>
      </c>
      <c r="J82" s="16">
        <v>2328</v>
      </c>
      <c r="K82" s="16">
        <v>2614</v>
      </c>
      <c r="L82" s="4">
        <v>2877</v>
      </c>
      <c r="M82" s="4">
        <v>3109</v>
      </c>
      <c r="N82" s="4">
        <v>3470</v>
      </c>
      <c r="O82" s="1460">
        <v>3502</v>
      </c>
      <c r="P82" s="4">
        <v>3547</v>
      </c>
      <c r="Q82" s="4">
        <v>3586</v>
      </c>
      <c r="R82" s="1461">
        <v>3728</v>
      </c>
      <c r="S82" s="1460">
        <v>3830</v>
      </c>
      <c r="T82" s="4">
        <v>3903</v>
      </c>
      <c r="U82" s="4">
        <v>3967</v>
      </c>
      <c r="V82" s="1461">
        <v>3968</v>
      </c>
      <c r="W82" s="1460">
        <v>3946</v>
      </c>
      <c r="X82" s="4">
        <v>3923</v>
      </c>
      <c r="Y82" s="4">
        <v>3954</v>
      </c>
      <c r="Z82" s="1461">
        <v>3996</v>
      </c>
      <c r="AA82" s="4">
        <v>4033</v>
      </c>
      <c r="AB82" s="4">
        <v>4098</v>
      </c>
      <c r="AC82" s="4">
        <v>4174</v>
      </c>
      <c r="AD82" s="4">
        <v>4302</v>
      </c>
      <c r="AE82" s="1460">
        <v>4413</v>
      </c>
      <c r="AF82" s="4">
        <v>4465</v>
      </c>
      <c r="AG82" s="4">
        <v>4539</v>
      </c>
      <c r="AH82" s="1461">
        <v>4607</v>
      </c>
      <c r="AI82" s="1460">
        <v>4687</v>
      </c>
      <c r="AJ82" s="4">
        <v>4763</v>
      </c>
      <c r="AK82" s="4">
        <v>4826</v>
      </c>
      <c r="AL82" s="1461">
        <v>4885</v>
      </c>
      <c r="AM82" s="4">
        <v>5062</v>
      </c>
      <c r="AO82" s="1461"/>
    </row>
    <row r="83" spans="1:41">
      <c r="B83" s="91" t="s">
        <v>1233</v>
      </c>
      <c r="C83" s="100"/>
      <c r="D83" s="100"/>
      <c r="E83" s="100"/>
      <c r="F83" s="100"/>
      <c r="G83" s="100"/>
      <c r="H83" s="100"/>
      <c r="N83" s="93"/>
      <c r="O83" s="1447"/>
      <c r="P83" s="1428"/>
      <c r="Q83" s="1428"/>
      <c r="R83" s="1448"/>
      <c r="S83" s="1491" t="s">
        <v>100</v>
      </c>
      <c r="T83" s="1492" t="s">
        <v>100</v>
      </c>
      <c r="U83" s="1492" t="s">
        <v>100</v>
      </c>
      <c r="V83" s="1493" t="s">
        <v>100</v>
      </c>
      <c r="W83" s="1491" t="s">
        <v>100</v>
      </c>
      <c r="X83" s="1492" t="s">
        <v>100</v>
      </c>
      <c r="Y83" s="1492" t="s">
        <v>100</v>
      </c>
      <c r="Z83" s="1493" t="s">
        <v>100</v>
      </c>
      <c r="AA83" s="1492" t="s">
        <v>100</v>
      </c>
      <c r="AB83" s="1492" t="s">
        <v>100</v>
      </c>
      <c r="AC83" s="48">
        <v>1</v>
      </c>
      <c r="AD83" s="48">
        <v>1</v>
      </c>
      <c r="AE83" s="1483">
        <v>0</v>
      </c>
      <c r="AF83" s="1514"/>
      <c r="AG83" s="1514"/>
      <c r="AH83" s="1519"/>
      <c r="AI83" s="1483"/>
      <c r="AJ83" s="1514"/>
      <c r="AK83" s="1514"/>
      <c r="AL83" s="1519"/>
      <c r="AM83" s="1514"/>
      <c r="AN83" s="1514"/>
      <c r="AO83" s="1519"/>
    </row>
    <row r="84" spans="1:41">
      <c r="A84" s="40"/>
      <c r="B84" s="91" t="s">
        <v>1232</v>
      </c>
      <c r="C84" s="16">
        <v>0</v>
      </c>
      <c r="D84" s="16">
        <v>0</v>
      </c>
      <c r="E84" s="16">
        <v>1</v>
      </c>
      <c r="F84" s="16">
        <v>4</v>
      </c>
      <c r="G84" s="16">
        <v>10</v>
      </c>
      <c r="H84" s="16">
        <v>26</v>
      </c>
      <c r="I84" s="16">
        <v>40</v>
      </c>
      <c r="J84" s="16">
        <v>51</v>
      </c>
      <c r="K84" s="16">
        <v>92</v>
      </c>
      <c r="L84" s="4">
        <v>110</v>
      </c>
      <c r="M84" s="4">
        <v>121</v>
      </c>
      <c r="N84" s="4">
        <v>121</v>
      </c>
      <c r="O84" s="1460">
        <v>122</v>
      </c>
      <c r="P84" s="4">
        <v>124</v>
      </c>
      <c r="Q84" s="4">
        <v>123</v>
      </c>
      <c r="R84" s="1461">
        <v>127</v>
      </c>
      <c r="S84" s="1460">
        <v>127</v>
      </c>
      <c r="T84" s="4">
        <v>126</v>
      </c>
      <c r="U84" s="4">
        <v>126</v>
      </c>
      <c r="V84" s="1461">
        <v>126</v>
      </c>
      <c r="W84" s="1460">
        <v>126</v>
      </c>
      <c r="X84" s="4">
        <v>126</v>
      </c>
      <c r="Y84" s="4">
        <v>125</v>
      </c>
      <c r="Z84" s="1461">
        <v>125</v>
      </c>
      <c r="AA84" s="4">
        <v>125</v>
      </c>
      <c r="AB84" s="4">
        <v>124</v>
      </c>
      <c r="AC84" s="4">
        <v>124</v>
      </c>
      <c r="AD84" s="4">
        <v>126</v>
      </c>
      <c r="AE84" s="1460">
        <v>126</v>
      </c>
      <c r="AF84" s="4">
        <v>124</v>
      </c>
      <c r="AG84" s="4">
        <v>124</v>
      </c>
      <c r="AH84" s="1461">
        <v>124</v>
      </c>
      <c r="AI84" s="1460">
        <v>123</v>
      </c>
      <c r="AJ84" s="4">
        <v>123</v>
      </c>
      <c r="AK84" s="4">
        <v>123</v>
      </c>
      <c r="AL84" s="1461">
        <v>123</v>
      </c>
      <c r="AM84" s="4">
        <v>121</v>
      </c>
      <c r="AO84" s="1461"/>
    </row>
    <row r="85" spans="1:41">
      <c r="A85" s="40"/>
      <c r="B85" s="92" t="s">
        <v>198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6">
        <v>8</v>
      </c>
      <c r="J85" s="16">
        <v>16</v>
      </c>
      <c r="K85" s="16">
        <v>312</v>
      </c>
      <c r="L85" s="4">
        <v>593</v>
      </c>
      <c r="M85" s="4">
        <v>888</v>
      </c>
      <c r="N85" s="4">
        <v>1065</v>
      </c>
      <c r="O85" s="1460">
        <v>1092</v>
      </c>
      <c r="P85" s="4">
        <v>1117</v>
      </c>
      <c r="Q85" s="4">
        <v>1146</v>
      </c>
      <c r="R85" s="1461">
        <v>1218</v>
      </c>
      <c r="S85" s="1460">
        <v>1316</v>
      </c>
      <c r="T85" s="4">
        <v>1390</v>
      </c>
      <c r="U85" s="4">
        <v>1453</v>
      </c>
      <c r="V85" s="1461">
        <v>1463</v>
      </c>
      <c r="W85" s="1460">
        <v>1499</v>
      </c>
      <c r="X85" s="4">
        <v>1506</v>
      </c>
      <c r="Y85" s="4">
        <v>1535</v>
      </c>
      <c r="Z85" s="1461">
        <v>1580</v>
      </c>
      <c r="AA85" s="4">
        <v>1618</v>
      </c>
      <c r="AB85" s="4">
        <v>1666</v>
      </c>
      <c r="AC85" s="4">
        <v>1705</v>
      </c>
      <c r="AD85" s="4">
        <v>1762</v>
      </c>
      <c r="AE85" s="1460">
        <v>1807</v>
      </c>
      <c r="AF85" s="4">
        <v>1813</v>
      </c>
      <c r="AG85" s="4">
        <v>1825</v>
      </c>
      <c r="AH85" s="1461">
        <v>1833</v>
      </c>
      <c r="AI85" s="1460">
        <v>1867</v>
      </c>
      <c r="AJ85" s="4">
        <v>1888</v>
      </c>
      <c r="AK85" s="4">
        <v>1904</v>
      </c>
      <c r="AL85" s="1461">
        <v>1928</v>
      </c>
      <c r="AM85" s="4">
        <v>1959</v>
      </c>
      <c r="AO85" s="1461"/>
    </row>
    <row r="86" spans="1:41">
      <c r="B86" s="99"/>
      <c r="C86" s="100"/>
      <c r="D86" s="100"/>
      <c r="E86" s="100"/>
      <c r="F86" s="100"/>
      <c r="G86" s="100"/>
      <c r="H86" s="100"/>
      <c r="N86" s="91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E86" s="99"/>
      <c r="AG86" s="99"/>
      <c r="AH86" s="99"/>
      <c r="AI86" s="99"/>
      <c r="AK86" s="99"/>
      <c r="AL86" s="99"/>
      <c r="AN86" s="99"/>
      <c r="AO86" s="99"/>
    </row>
    <row r="87" spans="1:41">
      <c r="B87" s="99"/>
      <c r="C87" s="100"/>
      <c r="D87" s="100"/>
      <c r="E87" s="100"/>
      <c r="F87" s="100"/>
      <c r="G87" s="100"/>
      <c r="H87" s="100"/>
      <c r="N87" s="91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</row>
    <row r="88" spans="1:41">
      <c r="B88" s="99"/>
      <c r="C88" s="100"/>
      <c r="D88" s="100"/>
      <c r="E88" s="100"/>
      <c r="F88" s="100"/>
      <c r="G88" s="100"/>
      <c r="H88" s="100"/>
      <c r="N88" s="91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</row>
    <row r="89" spans="1:41">
      <c r="B89" s="14"/>
      <c r="C89" s="100"/>
      <c r="D89" s="100"/>
      <c r="E89" s="100"/>
      <c r="F89" s="100"/>
      <c r="G89" s="100"/>
      <c r="H89" s="100"/>
      <c r="AN89" s="99"/>
      <c r="AO89" s="99"/>
    </row>
    <row r="90" spans="1:41">
      <c r="B90" s="14"/>
      <c r="C90" s="100"/>
      <c r="D90" s="100"/>
      <c r="E90" s="100"/>
      <c r="F90" s="100"/>
      <c r="G90" s="100"/>
      <c r="H90" s="100"/>
      <c r="AN90" s="99"/>
      <c r="AO90" s="99"/>
    </row>
    <row r="91" spans="1:41">
      <c r="B91" s="14"/>
      <c r="C91" s="100"/>
      <c r="D91" s="100"/>
      <c r="E91" s="100"/>
      <c r="F91" s="100"/>
      <c r="G91" s="100"/>
      <c r="H91" s="100"/>
      <c r="AN91" s="99"/>
      <c r="AO91" s="99"/>
    </row>
    <row r="92" spans="1:41">
      <c r="B92" s="14"/>
      <c r="C92" s="100"/>
      <c r="D92" s="100"/>
      <c r="E92" s="100"/>
      <c r="F92" s="100"/>
      <c r="G92" s="100"/>
      <c r="H92" s="100"/>
      <c r="AN92" s="99"/>
      <c r="AO92" s="99"/>
    </row>
    <row r="93" spans="1:41">
      <c r="B93" s="14"/>
      <c r="C93" s="100"/>
      <c r="D93" s="100"/>
      <c r="E93" s="100"/>
      <c r="F93" s="100"/>
      <c r="G93" s="100"/>
      <c r="H93" s="100"/>
      <c r="AN93" s="99"/>
      <c r="AO93" s="99"/>
    </row>
    <row r="94" spans="1:41">
      <c r="B94" s="14"/>
      <c r="C94" s="100"/>
      <c r="D94" s="100"/>
      <c r="E94" s="100"/>
      <c r="F94" s="100"/>
      <c r="G94" s="100"/>
      <c r="H94" s="100"/>
      <c r="AN94" s="99"/>
      <c r="AO94" s="99"/>
    </row>
    <row r="95" spans="1:41">
      <c r="B95" s="14"/>
      <c r="C95" s="100"/>
      <c r="D95" s="100"/>
      <c r="E95" s="100"/>
      <c r="F95" s="100"/>
      <c r="G95" s="100"/>
      <c r="H95" s="100"/>
      <c r="AN95" s="99"/>
      <c r="AO95" s="99"/>
    </row>
    <row r="96" spans="1:41">
      <c r="B96" s="99"/>
      <c r="C96" s="100"/>
      <c r="D96" s="100"/>
      <c r="E96" s="100"/>
      <c r="F96" s="100"/>
      <c r="G96" s="100"/>
      <c r="H96" s="100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</row>
    <row r="97" spans="2:8">
      <c r="B97" s="99"/>
      <c r="C97" s="100"/>
      <c r="D97" s="100"/>
      <c r="E97" s="100"/>
      <c r="F97" s="100"/>
      <c r="G97" s="100"/>
      <c r="H97" s="100"/>
    </row>
    <row r="98" spans="2:8">
      <c r="B98" s="99"/>
      <c r="C98" s="100"/>
      <c r="D98" s="100"/>
      <c r="E98" s="100"/>
      <c r="F98" s="100"/>
      <c r="G98" s="100"/>
      <c r="H98" s="100"/>
    </row>
    <row r="99" spans="2:8">
      <c r="B99" s="99"/>
      <c r="C99" s="100"/>
      <c r="D99" s="100"/>
      <c r="E99" s="100"/>
      <c r="F99" s="100"/>
      <c r="G99" s="100"/>
      <c r="H99" s="100"/>
    </row>
    <row r="100" spans="2:8">
      <c r="B100" s="99"/>
      <c r="C100" s="100"/>
      <c r="D100" s="100"/>
      <c r="E100" s="100"/>
      <c r="F100" s="100"/>
      <c r="G100" s="100"/>
      <c r="H100" s="100"/>
    </row>
    <row r="101" spans="2:8">
      <c r="B101" s="99"/>
      <c r="C101" s="100"/>
      <c r="D101" s="100"/>
      <c r="E101" s="100"/>
      <c r="F101" s="100"/>
      <c r="G101" s="100"/>
      <c r="H101" s="100"/>
    </row>
    <row r="102" spans="2:8">
      <c r="B102" s="99"/>
      <c r="C102" s="100"/>
      <c r="D102" s="100"/>
      <c r="E102" s="100"/>
      <c r="F102" s="100"/>
      <c r="G102" s="100"/>
      <c r="H102" s="100"/>
    </row>
    <row r="103" spans="2:8">
      <c r="B103" s="99"/>
      <c r="C103" s="100"/>
      <c r="D103" s="100"/>
      <c r="E103" s="100"/>
      <c r="F103" s="100"/>
      <c r="G103" s="100"/>
      <c r="H103" s="100"/>
    </row>
    <row r="104" spans="2:8">
      <c r="B104" s="99"/>
      <c r="C104" s="100"/>
      <c r="D104" s="100"/>
      <c r="E104" s="100"/>
      <c r="F104" s="100"/>
      <c r="G104" s="100"/>
      <c r="H104" s="100"/>
    </row>
    <row r="105" spans="2:8">
      <c r="B105" s="99"/>
      <c r="C105" s="100"/>
      <c r="D105" s="100"/>
      <c r="E105" s="100"/>
      <c r="F105" s="100"/>
      <c r="G105" s="100"/>
      <c r="H105" s="100"/>
    </row>
    <row r="106" spans="2:8">
      <c r="B106" s="99"/>
      <c r="C106" s="100"/>
      <c r="D106" s="100"/>
      <c r="E106" s="100"/>
      <c r="F106" s="100"/>
      <c r="G106" s="100"/>
      <c r="H106" s="100"/>
    </row>
    <row r="107" spans="2:8">
      <c r="B107" s="99"/>
      <c r="C107" s="100"/>
      <c r="D107" s="100"/>
      <c r="E107" s="100"/>
      <c r="F107" s="100"/>
      <c r="G107" s="100"/>
      <c r="H107" s="100"/>
    </row>
    <row r="108" spans="2:8">
      <c r="B108" s="99"/>
      <c r="C108" s="100"/>
      <c r="D108" s="100"/>
      <c r="E108" s="100"/>
      <c r="F108" s="100"/>
      <c r="G108" s="100"/>
      <c r="H108" s="100"/>
    </row>
    <row r="109" spans="2:8">
      <c r="B109" s="99"/>
      <c r="C109" s="100"/>
      <c r="D109" s="100"/>
      <c r="E109" s="100"/>
      <c r="F109" s="100"/>
      <c r="G109" s="100"/>
      <c r="H109" s="100"/>
    </row>
    <row r="110" spans="2:8">
      <c r="B110" s="99"/>
      <c r="C110" s="100"/>
      <c r="D110" s="100"/>
      <c r="E110" s="100"/>
      <c r="F110" s="100"/>
      <c r="G110" s="100"/>
      <c r="H110" s="100"/>
    </row>
    <row r="111" spans="2:8">
      <c r="B111" s="99"/>
      <c r="C111" s="100"/>
      <c r="D111" s="100"/>
      <c r="E111" s="100"/>
      <c r="F111" s="100"/>
      <c r="G111" s="100"/>
      <c r="H111" s="100"/>
    </row>
    <row r="112" spans="2:8">
      <c r="B112" s="99"/>
      <c r="C112" s="100"/>
      <c r="D112" s="100"/>
      <c r="E112" s="100"/>
      <c r="F112" s="100"/>
      <c r="G112" s="100"/>
      <c r="H112" s="100"/>
    </row>
  </sheetData>
  <hyperlinks>
    <hyperlink ref="B4" location="'Cover list'!A1" display="&gt;&gt;  Content" xr:uid="{00000000-0004-0000-0A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43"/>
  <dimension ref="B2:AD2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2.75" outlineLevelRow="1" outlineLevelCol="1"/>
  <cols>
    <col min="1" max="1" width="5.625" style="4" customWidth="1"/>
    <col min="2" max="2" width="29.5" style="4" bestFit="1" customWidth="1"/>
    <col min="3" max="19" width="9" style="4" hidden="1" customWidth="1" outlineLevel="1"/>
    <col min="20" max="20" width="9" style="4" collapsed="1"/>
    <col min="21" max="23" width="9" style="4" customWidth="1"/>
    <col min="24" max="24" width="9" style="4"/>
    <col min="25" max="28" width="9" style="4" customWidth="1"/>
    <col min="29" max="30" width="9" style="4" hidden="1" customWidth="1"/>
    <col min="31" max="16384" width="9" style="4"/>
  </cols>
  <sheetData>
    <row r="2" spans="2:30" ht="18.75">
      <c r="B2" s="1370" t="s">
        <v>110</v>
      </c>
    </row>
    <row r="3" spans="2:30">
      <c r="B3" s="25"/>
    </row>
    <row r="4" spans="2:30" s="43" customFormat="1">
      <c r="B4" s="53"/>
      <c r="K4" s="1498"/>
      <c r="L4" s="1501"/>
      <c r="M4" s="1501"/>
      <c r="N4" s="1501"/>
      <c r="O4" s="1501"/>
      <c r="P4" s="1498"/>
      <c r="Q4" s="1498"/>
      <c r="R4" s="1498"/>
      <c r="S4" s="1498"/>
      <c r="T4" s="1498"/>
      <c r="X4" s="1498"/>
      <c r="AB4" s="1543"/>
    </row>
    <row r="5" spans="2:30" s="43" customFormat="1">
      <c r="B5" s="1410"/>
      <c r="C5" s="1350">
        <v>2014</v>
      </c>
      <c r="D5" s="1350">
        <v>2015</v>
      </c>
      <c r="E5" s="1350">
        <v>2016</v>
      </c>
      <c r="F5" s="1350">
        <v>2017</v>
      </c>
      <c r="G5" s="1350">
        <v>2018</v>
      </c>
      <c r="H5" s="1441" t="s">
        <v>213</v>
      </c>
      <c r="I5" s="1442" t="s">
        <v>214</v>
      </c>
      <c r="J5" s="1442" t="s">
        <v>215</v>
      </c>
      <c r="K5" s="1443" t="s">
        <v>1129</v>
      </c>
      <c r="L5" s="1433" t="s">
        <v>1133</v>
      </c>
      <c r="M5" s="1433" t="s">
        <v>1134</v>
      </c>
      <c r="N5" s="1433" t="s">
        <v>1137</v>
      </c>
      <c r="O5" s="1433" t="s">
        <v>1138</v>
      </c>
      <c r="P5" s="1441" t="s">
        <v>1141</v>
      </c>
      <c r="Q5" s="1442" t="s">
        <v>1164</v>
      </c>
      <c r="R5" s="1442" t="s">
        <v>1160</v>
      </c>
      <c r="S5" s="1443" t="s">
        <v>1161</v>
      </c>
      <c r="T5" s="1433" t="s">
        <v>1177</v>
      </c>
      <c r="U5" s="1433" t="s">
        <v>1178</v>
      </c>
      <c r="V5" s="1433" t="s">
        <v>1181</v>
      </c>
      <c r="W5" s="1517" t="s">
        <v>1180</v>
      </c>
      <c r="X5" s="1435" t="s">
        <v>1191</v>
      </c>
      <c r="Y5" s="1435" t="s">
        <v>1192</v>
      </c>
      <c r="Z5" s="1435" t="s">
        <v>1193</v>
      </c>
      <c r="AA5" s="1534" t="s">
        <v>1194</v>
      </c>
      <c r="AB5" s="1433" t="s">
        <v>1225</v>
      </c>
      <c r="AC5" s="1433" t="s">
        <v>1221</v>
      </c>
      <c r="AD5" s="1433" t="s">
        <v>1222</v>
      </c>
    </row>
    <row r="6" spans="2:30" s="43" customFormat="1">
      <c r="B6" s="23" t="s">
        <v>109</v>
      </c>
      <c r="C6" s="1382">
        <v>5938</v>
      </c>
      <c r="D6" s="1382">
        <v>5882</v>
      </c>
      <c r="E6" s="1382">
        <v>5713</v>
      </c>
      <c r="F6" s="1382">
        <v>6089</v>
      </c>
      <c r="G6" s="1382">
        <v>5897</v>
      </c>
      <c r="H6" s="1470">
        <v>5900</v>
      </c>
      <c r="I6" s="1382">
        <v>5857</v>
      </c>
      <c r="J6" s="1382">
        <v>5776</v>
      </c>
      <c r="K6" s="1382">
        <v>5656</v>
      </c>
      <c r="L6" s="1470">
        <v>5458</v>
      </c>
      <c r="M6" s="1471">
        <v>5152</v>
      </c>
      <c r="N6" s="1471">
        <v>4852</v>
      </c>
      <c r="O6" s="1472">
        <v>4355</v>
      </c>
      <c r="P6" s="1382">
        <v>4153</v>
      </c>
      <c r="Q6" s="1382">
        <v>4367</v>
      </c>
      <c r="R6" s="43">
        <v>5144</v>
      </c>
      <c r="S6" s="1472">
        <v>5435</v>
      </c>
      <c r="T6" s="1382">
        <v>5416</v>
      </c>
      <c r="U6" s="43">
        <v>5412</v>
      </c>
      <c r="V6" s="43">
        <v>5407</v>
      </c>
      <c r="W6" s="1472">
        <v>5407</v>
      </c>
      <c r="X6" s="1382">
        <v>5414</v>
      </c>
      <c r="Y6" s="43">
        <v>5412</v>
      </c>
      <c r="Z6" s="43">
        <v>5422</v>
      </c>
      <c r="AA6" s="1472">
        <v>5732</v>
      </c>
      <c r="AB6" s="43">
        <v>6080</v>
      </c>
      <c r="AD6" s="1472"/>
    </row>
    <row r="7" spans="2:30" s="43" customFormat="1">
      <c r="B7" s="1354" t="s">
        <v>105</v>
      </c>
      <c r="C7" s="1383">
        <v>27</v>
      </c>
      <c r="D7" s="1383">
        <v>33</v>
      </c>
      <c r="E7" s="1383">
        <v>35</v>
      </c>
      <c r="F7" s="1383">
        <v>37</v>
      </c>
      <c r="G7" s="1383">
        <v>37</v>
      </c>
      <c r="H7" s="1473">
        <v>38</v>
      </c>
      <c r="I7" s="1383">
        <v>38</v>
      </c>
      <c r="J7" s="1383">
        <v>38</v>
      </c>
      <c r="K7" s="1383">
        <v>38</v>
      </c>
      <c r="L7" s="1473">
        <v>38</v>
      </c>
      <c r="M7" s="1383">
        <v>38</v>
      </c>
      <c r="N7" s="1383">
        <v>38</v>
      </c>
      <c r="O7" s="1474">
        <v>38</v>
      </c>
      <c r="P7" s="1383">
        <v>39</v>
      </c>
      <c r="Q7" s="1383">
        <v>39</v>
      </c>
      <c r="R7" s="43">
        <v>45</v>
      </c>
      <c r="S7" s="1474">
        <v>45</v>
      </c>
      <c r="T7" s="1383">
        <v>45</v>
      </c>
      <c r="U7" s="43">
        <v>45</v>
      </c>
      <c r="V7" s="43">
        <v>44</v>
      </c>
      <c r="W7" s="1474">
        <v>44</v>
      </c>
      <c r="X7" s="1383">
        <v>45</v>
      </c>
      <c r="Y7" s="43">
        <v>45</v>
      </c>
      <c r="Z7" s="43">
        <v>45</v>
      </c>
      <c r="AA7" s="1474">
        <v>45</v>
      </c>
      <c r="AB7" s="43">
        <v>47</v>
      </c>
      <c r="AC7" s="43">
        <v>0</v>
      </c>
      <c r="AD7" s="1474">
        <v>0</v>
      </c>
    </row>
    <row r="8" spans="2:30" s="40" customFormat="1" outlineLevel="1">
      <c r="B8" s="101" t="s">
        <v>103</v>
      </c>
      <c r="C8" s="1384">
        <v>8</v>
      </c>
      <c r="D8" s="1384">
        <v>9</v>
      </c>
      <c r="E8" s="1384">
        <v>9</v>
      </c>
      <c r="F8" s="1384">
        <v>9</v>
      </c>
      <c r="G8" s="1384">
        <v>9</v>
      </c>
      <c r="H8" s="1477">
        <v>10</v>
      </c>
      <c r="I8" s="1387">
        <v>10</v>
      </c>
      <c r="J8" s="1387">
        <v>10</v>
      </c>
      <c r="K8" s="1387">
        <v>10</v>
      </c>
      <c r="L8" s="1477">
        <v>10</v>
      </c>
      <c r="M8" s="1387">
        <v>10</v>
      </c>
      <c r="N8" s="1387">
        <v>10</v>
      </c>
      <c r="O8" s="1478">
        <v>10</v>
      </c>
      <c r="P8" s="1387">
        <v>10</v>
      </c>
      <c r="Q8" s="1387">
        <v>10</v>
      </c>
      <c r="R8" s="4">
        <v>14</v>
      </c>
      <c r="S8" s="1478">
        <v>14</v>
      </c>
      <c r="T8" s="1387">
        <v>14</v>
      </c>
      <c r="U8" s="40">
        <v>14</v>
      </c>
      <c r="V8" s="40">
        <v>14</v>
      </c>
      <c r="W8" s="1478">
        <v>14</v>
      </c>
      <c r="X8" s="1387">
        <v>15</v>
      </c>
      <c r="Y8" s="4">
        <v>15</v>
      </c>
      <c r="Z8" s="4">
        <v>15</v>
      </c>
      <c r="AA8" s="1478">
        <v>15</v>
      </c>
      <c r="AB8" s="4">
        <v>15</v>
      </c>
      <c r="AC8" s="4"/>
      <c r="AD8" s="1478"/>
    </row>
    <row r="9" spans="2:30" s="40" customFormat="1" outlineLevel="1">
      <c r="B9" s="101" t="s">
        <v>121</v>
      </c>
      <c r="C9" s="1384">
        <v>2</v>
      </c>
      <c r="D9" s="1384">
        <v>2</v>
      </c>
      <c r="E9" s="1384">
        <v>2</v>
      </c>
      <c r="F9" s="1384">
        <v>3</v>
      </c>
      <c r="G9" s="1384">
        <v>3</v>
      </c>
      <c r="H9" s="1477">
        <v>3</v>
      </c>
      <c r="I9" s="1387">
        <v>3</v>
      </c>
      <c r="J9" s="1387">
        <v>3</v>
      </c>
      <c r="K9" s="1387">
        <v>3</v>
      </c>
      <c r="L9" s="1477">
        <v>3</v>
      </c>
      <c r="M9" s="1387">
        <v>3</v>
      </c>
      <c r="N9" s="1387">
        <v>3</v>
      </c>
      <c r="O9" s="1478">
        <v>3</v>
      </c>
      <c r="P9" s="1387">
        <v>3</v>
      </c>
      <c r="Q9" s="1387">
        <v>3</v>
      </c>
      <c r="R9" s="4">
        <v>4</v>
      </c>
      <c r="S9" s="1478">
        <v>4</v>
      </c>
      <c r="T9" s="1387">
        <v>4</v>
      </c>
      <c r="U9" s="40">
        <v>4</v>
      </c>
      <c r="V9" s="40">
        <v>4</v>
      </c>
      <c r="W9" s="1478">
        <v>4</v>
      </c>
      <c r="X9" s="1387">
        <v>4</v>
      </c>
      <c r="Y9" s="4">
        <v>4</v>
      </c>
      <c r="Z9" s="4">
        <v>4</v>
      </c>
      <c r="AA9" s="1478">
        <v>4</v>
      </c>
      <c r="AB9" s="4">
        <v>5</v>
      </c>
      <c r="AC9" s="4"/>
      <c r="AD9" s="1478"/>
    </row>
    <row r="10" spans="2:30" s="40" customFormat="1" outlineLevel="1">
      <c r="B10" s="101" t="s">
        <v>104</v>
      </c>
      <c r="C10" s="1384">
        <v>6</v>
      </c>
      <c r="D10" s="1384">
        <v>8</v>
      </c>
      <c r="E10" s="1384">
        <v>8</v>
      </c>
      <c r="F10" s="1384">
        <v>8</v>
      </c>
      <c r="G10" s="1384">
        <v>8</v>
      </c>
      <c r="H10" s="1477">
        <v>8</v>
      </c>
      <c r="I10" s="1387">
        <v>8</v>
      </c>
      <c r="J10" s="1387">
        <v>8</v>
      </c>
      <c r="K10" s="1387">
        <v>8</v>
      </c>
      <c r="L10" s="1477">
        <v>8</v>
      </c>
      <c r="M10" s="1387">
        <v>8</v>
      </c>
      <c r="N10" s="1387">
        <v>8</v>
      </c>
      <c r="O10" s="1478">
        <v>8</v>
      </c>
      <c r="P10" s="1387">
        <v>8</v>
      </c>
      <c r="Q10" s="1387">
        <v>8</v>
      </c>
      <c r="R10" s="4">
        <v>8</v>
      </c>
      <c r="S10" s="1478">
        <v>8</v>
      </c>
      <c r="T10" s="1387">
        <v>8</v>
      </c>
      <c r="U10" s="40">
        <v>8</v>
      </c>
      <c r="V10" s="40">
        <v>8</v>
      </c>
      <c r="W10" s="1478">
        <v>8</v>
      </c>
      <c r="X10" s="1387">
        <v>8</v>
      </c>
      <c r="Y10" s="4">
        <v>8</v>
      </c>
      <c r="Z10" s="4">
        <v>8</v>
      </c>
      <c r="AA10" s="1478">
        <v>8</v>
      </c>
      <c r="AB10" s="4">
        <v>8</v>
      </c>
      <c r="AC10" s="4"/>
      <c r="AD10" s="1478"/>
    </row>
    <row r="11" spans="2:30" s="40" customFormat="1" outlineLevel="1">
      <c r="B11" s="101" t="s">
        <v>132</v>
      </c>
      <c r="C11" s="1384">
        <v>1</v>
      </c>
      <c r="D11" s="1384">
        <v>1</v>
      </c>
      <c r="E11" s="1384">
        <v>1</v>
      </c>
      <c r="F11" s="1384">
        <v>1</v>
      </c>
      <c r="G11" s="1384">
        <v>1</v>
      </c>
      <c r="H11" s="1477">
        <v>1</v>
      </c>
      <c r="I11" s="1387">
        <v>1</v>
      </c>
      <c r="J11" s="1387">
        <v>1</v>
      </c>
      <c r="K11" s="1387">
        <v>1</v>
      </c>
      <c r="L11" s="1477">
        <v>1</v>
      </c>
      <c r="M11" s="1387">
        <v>1</v>
      </c>
      <c r="N11" s="1387">
        <v>1</v>
      </c>
      <c r="O11" s="1478">
        <v>1</v>
      </c>
      <c r="P11" s="1387">
        <v>1</v>
      </c>
      <c r="Q11" s="1387">
        <v>1</v>
      </c>
      <c r="R11" s="4">
        <v>1</v>
      </c>
      <c r="S11" s="1478">
        <v>1</v>
      </c>
      <c r="T11" s="1387">
        <v>1</v>
      </c>
      <c r="U11" s="40">
        <v>1</v>
      </c>
      <c r="V11" s="40">
        <v>1</v>
      </c>
      <c r="W11" s="1478">
        <v>1</v>
      </c>
      <c r="X11" s="1387">
        <v>1</v>
      </c>
      <c r="Y11" s="4">
        <v>1</v>
      </c>
      <c r="Z11" s="4">
        <v>1</v>
      </c>
      <c r="AA11" s="1478">
        <v>1</v>
      </c>
      <c r="AB11" s="4">
        <v>1</v>
      </c>
      <c r="AC11" s="4"/>
      <c r="AD11" s="1478"/>
    </row>
    <row r="12" spans="2:30" s="40" customFormat="1" outlineLevel="1">
      <c r="B12" s="101" t="s">
        <v>102</v>
      </c>
      <c r="C12" s="1384">
        <v>2</v>
      </c>
      <c r="D12" s="1384">
        <v>2</v>
      </c>
      <c r="E12" s="1384">
        <v>3</v>
      </c>
      <c r="F12" s="1384">
        <v>3</v>
      </c>
      <c r="G12" s="1384">
        <v>3</v>
      </c>
      <c r="H12" s="1477">
        <v>3</v>
      </c>
      <c r="I12" s="1387">
        <v>3</v>
      </c>
      <c r="J12" s="1387">
        <v>3</v>
      </c>
      <c r="K12" s="1387">
        <v>3</v>
      </c>
      <c r="L12" s="1477">
        <v>3</v>
      </c>
      <c r="M12" s="1387">
        <v>3</v>
      </c>
      <c r="N12" s="1387">
        <v>3</v>
      </c>
      <c r="O12" s="1478">
        <v>3</v>
      </c>
      <c r="P12" s="1387">
        <v>3</v>
      </c>
      <c r="Q12" s="1387">
        <v>3</v>
      </c>
      <c r="R12" s="4">
        <v>3</v>
      </c>
      <c r="S12" s="1478">
        <v>3</v>
      </c>
      <c r="T12" s="1387">
        <v>3</v>
      </c>
      <c r="U12" s="40">
        <v>3</v>
      </c>
      <c r="V12" s="40">
        <v>3</v>
      </c>
      <c r="W12" s="1478">
        <v>3</v>
      </c>
      <c r="X12" s="1387">
        <v>3</v>
      </c>
      <c r="Y12" s="4">
        <v>3</v>
      </c>
      <c r="Z12" s="4">
        <v>3</v>
      </c>
      <c r="AA12" s="1478">
        <v>3</v>
      </c>
      <c r="AB12" s="4">
        <v>3</v>
      </c>
      <c r="AC12" s="4"/>
      <c r="AD12" s="1478"/>
    </row>
    <row r="13" spans="2:30" s="40" customFormat="1" outlineLevel="1">
      <c r="B13" s="101" t="s">
        <v>122</v>
      </c>
      <c r="C13" s="1384">
        <v>2</v>
      </c>
      <c r="D13" s="1384">
        <v>3</v>
      </c>
      <c r="E13" s="1384">
        <v>3</v>
      </c>
      <c r="F13" s="1384">
        <v>3</v>
      </c>
      <c r="G13" s="1384">
        <v>3</v>
      </c>
      <c r="H13" s="1477">
        <v>3</v>
      </c>
      <c r="I13" s="1387">
        <v>3</v>
      </c>
      <c r="J13" s="1387">
        <v>3</v>
      </c>
      <c r="K13" s="1387">
        <v>3</v>
      </c>
      <c r="L13" s="1477">
        <v>3</v>
      </c>
      <c r="M13" s="1387">
        <v>3</v>
      </c>
      <c r="N13" s="1387">
        <v>3</v>
      </c>
      <c r="O13" s="1478">
        <v>3</v>
      </c>
      <c r="P13" s="1387">
        <v>4</v>
      </c>
      <c r="Q13" s="1387">
        <v>4</v>
      </c>
      <c r="R13" s="4">
        <v>5</v>
      </c>
      <c r="S13" s="1478">
        <v>5</v>
      </c>
      <c r="T13" s="1387">
        <v>5</v>
      </c>
      <c r="U13" s="40">
        <v>5</v>
      </c>
      <c r="V13" s="40">
        <v>4</v>
      </c>
      <c r="W13" s="1478">
        <v>4</v>
      </c>
      <c r="X13" s="1387">
        <v>4</v>
      </c>
      <c r="Y13" s="4">
        <v>4</v>
      </c>
      <c r="Z13" s="4">
        <v>4</v>
      </c>
      <c r="AA13" s="1478">
        <v>4</v>
      </c>
      <c r="AB13" s="4">
        <v>4</v>
      </c>
      <c r="AC13" s="4"/>
      <c r="AD13" s="1478"/>
    </row>
    <row r="14" spans="2:30" s="40" customFormat="1" outlineLevel="1">
      <c r="B14" s="1369" t="s">
        <v>101</v>
      </c>
      <c r="C14" s="1385">
        <v>6</v>
      </c>
      <c r="D14" s="1385">
        <v>8</v>
      </c>
      <c r="E14" s="1385">
        <v>9</v>
      </c>
      <c r="F14" s="1385">
        <v>10</v>
      </c>
      <c r="G14" s="1385">
        <v>10</v>
      </c>
      <c r="H14" s="1502">
        <v>10</v>
      </c>
      <c r="I14" s="1503">
        <v>10</v>
      </c>
      <c r="J14" s="1503">
        <v>10</v>
      </c>
      <c r="K14" s="1503">
        <v>10</v>
      </c>
      <c r="L14" s="1502">
        <v>10</v>
      </c>
      <c r="M14" s="1503">
        <v>10</v>
      </c>
      <c r="N14" s="1503">
        <v>10</v>
      </c>
      <c r="O14" s="1504">
        <v>10</v>
      </c>
      <c r="P14" s="1503">
        <v>10</v>
      </c>
      <c r="Q14" s="1503">
        <v>10</v>
      </c>
      <c r="R14" s="4">
        <v>10</v>
      </c>
      <c r="S14" s="1504">
        <v>10</v>
      </c>
      <c r="T14" s="1503">
        <v>10</v>
      </c>
      <c r="U14" s="40">
        <v>10</v>
      </c>
      <c r="V14" s="40">
        <v>10</v>
      </c>
      <c r="W14" s="1504">
        <v>10</v>
      </c>
      <c r="X14" s="1503">
        <v>10</v>
      </c>
      <c r="Y14" s="4">
        <v>10</v>
      </c>
      <c r="Z14" s="4">
        <v>10</v>
      </c>
      <c r="AA14" s="1504">
        <v>10</v>
      </c>
      <c r="AB14" s="4">
        <v>11</v>
      </c>
      <c r="AC14" s="4"/>
      <c r="AD14" s="1504"/>
    </row>
    <row r="15" spans="2:30" s="43" customFormat="1">
      <c r="B15" s="95" t="s">
        <v>1204</v>
      </c>
      <c r="C15" s="1386">
        <v>908.92600000000004</v>
      </c>
      <c r="D15" s="1386">
        <v>1291.6310000000001</v>
      </c>
      <c r="E15" s="1386">
        <v>1505</v>
      </c>
      <c r="F15" s="1386">
        <v>1640</v>
      </c>
      <c r="G15" s="1386">
        <v>1645</v>
      </c>
      <c r="H15" s="1475">
        <v>1685.66534</v>
      </c>
      <c r="I15" s="1386">
        <v>1685.66534</v>
      </c>
      <c r="J15" s="1386">
        <v>1685.66534</v>
      </c>
      <c r="K15" s="1386">
        <v>1685.66534</v>
      </c>
      <c r="L15" s="1475">
        <v>1685.66534</v>
      </c>
      <c r="M15" s="1386">
        <v>1685.66534</v>
      </c>
      <c r="N15" s="1386">
        <v>1685.6656399999999</v>
      </c>
      <c r="O15" s="1476">
        <v>1707.3306</v>
      </c>
      <c r="P15" s="1386">
        <v>1736.8575999999998</v>
      </c>
      <c r="Q15" s="1386">
        <v>1736.8575999999998</v>
      </c>
      <c r="R15" s="43">
        <v>1921</v>
      </c>
      <c r="S15" s="1476">
        <v>1921</v>
      </c>
      <c r="T15" s="1386">
        <v>1920</v>
      </c>
      <c r="U15" s="43">
        <v>1918</v>
      </c>
      <c r="V15" s="43">
        <v>1910</v>
      </c>
      <c r="W15" s="1476">
        <v>1909</v>
      </c>
      <c r="X15" s="1386">
        <v>1921</v>
      </c>
      <c r="Y15" s="43">
        <v>1921</v>
      </c>
      <c r="Z15" s="43">
        <v>1921</v>
      </c>
      <c r="AA15" s="1476">
        <v>1921</v>
      </c>
      <c r="AB15" s="43">
        <v>1999</v>
      </c>
      <c r="AD15" s="1476"/>
    </row>
    <row r="16" spans="2:30" outlineLevel="1">
      <c r="B16" s="101" t="s">
        <v>103</v>
      </c>
      <c r="C16" s="1387">
        <v>357.50599999999997</v>
      </c>
      <c r="D16" s="1387">
        <v>405.00200000000001</v>
      </c>
      <c r="E16" s="1387">
        <v>477</v>
      </c>
      <c r="F16" s="1387">
        <v>477</v>
      </c>
      <c r="G16" s="1387">
        <v>477</v>
      </c>
      <c r="H16" s="1477">
        <v>516.09479999999996</v>
      </c>
      <c r="I16" s="1387">
        <v>516.09479999999996</v>
      </c>
      <c r="J16" s="1387">
        <v>516.09479999999996</v>
      </c>
      <c r="K16" s="1341">
        <v>516.09479999999996</v>
      </c>
      <c r="L16" s="1477">
        <v>516.09479999999996</v>
      </c>
      <c r="M16" s="1387">
        <v>516.09480000000008</v>
      </c>
      <c r="N16" s="1387">
        <v>516.0951</v>
      </c>
      <c r="O16" s="1478">
        <v>511.79399999999998</v>
      </c>
      <c r="P16" s="1341">
        <v>511.79399999999998</v>
      </c>
      <c r="Q16" s="1341">
        <v>511.79399999999998</v>
      </c>
      <c r="R16" s="4">
        <v>652</v>
      </c>
      <c r="S16" s="1478">
        <v>652</v>
      </c>
      <c r="T16" s="1341">
        <v>652</v>
      </c>
      <c r="U16" s="4">
        <v>651</v>
      </c>
      <c r="V16" s="4">
        <v>650</v>
      </c>
      <c r="W16" s="1478">
        <v>649</v>
      </c>
      <c r="X16" s="1341">
        <v>661</v>
      </c>
      <c r="Y16" s="4">
        <v>661</v>
      </c>
      <c r="Z16" s="4">
        <v>661</v>
      </c>
      <c r="AA16" s="1478">
        <v>661</v>
      </c>
      <c r="AB16" s="4">
        <v>678</v>
      </c>
      <c r="AD16" s="1478"/>
    </row>
    <row r="17" spans="2:30" outlineLevel="1">
      <c r="B17" s="101" t="s">
        <v>121</v>
      </c>
      <c r="C17" s="1387">
        <v>71.86</v>
      </c>
      <c r="D17" s="1387">
        <v>73.600999999999999</v>
      </c>
      <c r="E17" s="1387">
        <v>73</v>
      </c>
      <c r="F17" s="1387">
        <v>119</v>
      </c>
      <c r="G17" s="1387">
        <v>119</v>
      </c>
      <c r="H17" s="1477">
        <v>119.05019999999999</v>
      </c>
      <c r="I17" s="1387">
        <v>119.05019999999999</v>
      </c>
      <c r="J17" s="1387">
        <v>119.05019999999999</v>
      </c>
      <c r="K17" s="1341">
        <v>119.05019999999999</v>
      </c>
      <c r="L17" s="1477">
        <v>119.05019999999999</v>
      </c>
      <c r="M17" s="1387">
        <v>119.05019999999999</v>
      </c>
      <c r="N17" s="1387">
        <v>119.05019999999999</v>
      </c>
      <c r="O17" s="1478">
        <v>119.05019999999999</v>
      </c>
      <c r="P17" s="1341">
        <v>119.05019999999999</v>
      </c>
      <c r="Q17" s="1341">
        <v>119.05019999999999</v>
      </c>
      <c r="R17" s="4">
        <v>152</v>
      </c>
      <c r="S17" s="1478">
        <v>152</v>
      </c>
      <c r="T17" s="1341">
        <v>152</v>
      </c>
      <c r="U17" s="4">
        <v>152</v>
      </c>
      <c r="V17" s="4">
        <v>152</v>
      </c>
      <c r="W17" s="1478">
        <v>152</v>
      </c>
      <c r="X17" s="1341">
        <v>152</v>
      </c>
      <c r="Y17" s="4">
        <v>152</v>
      </c>
      <c r="Z17" s="4">
        <v>152</v>
      </c>
      <c r="AA17" s="1478">
        <v>152</v>
      </c>
      <c r="AB17" s="4">
        <v>185</v>
      </c>
      <c r="AD17" s="1478"/>
    </row>
    <row r="18" spans="2:30" outlineLevel="1">
      <c r="B18" s="101" t="s">
        <v>104</v>
      </c>
      <c r="C18" s="1387">
        <v>178.328</v>
      </c>
      <c r="D18" s="1387">
        <v>310.387</v>
      </c>
      <c r="E18" s="1387">
        <v>308</v>
      </c>
      <c r="F18" s="1387">
        <v>308</v>
      </c>
      <c r="G18" s="1387">
        <v>313</v>
      </c>
      <c r="H18" s="1477">
        <v>313.16780000000006</v>
      </c>
      <c r="I18" s="1387">
        <v>313.16780000000006</v>
      </c>
      <c r="J18" s="1387">
        <v>313.16780000000006</v>
      </c>
      <c r="K18" s="1341">
        <v>313.16780000000006</v>
      </c>
      <c r="L18" s="1477">
        <v>313.16780000000006</v>
      </c>
      <c r="M18" s="1387">
        <v>313.16780000000006</v>
      </c>
      <c r="N18" s="1387">
        <v>313.16780000000006</v>
      </c>
      <c r="O18" s="1478">
        <v>313.16780000000006</v>
      </c>
      <c r="P18" s="1341">
        <v>313.16780000000006</v>
      </c>
      <c r="Q18" s="1341">
        <v>313.16780000000006</v>
      </c>
      <c r="R18" s="4">
        <v>315</v>
      </c>
      <c r="S18" s="1478">
        <v>315</v>
      </c>
      <c r="T18" s="1341">
        <v>315</v>
      </c>
      <c r="U18" s="4">
        <v>315</v>
      </c>
      <c r="V18" s="4">
        <v>315</v>
      </c>
      <c r="W18" s="1478">
        <v>315</v>
      </c>
      <c r="X18" s="1341">
        <v>315</v>
      </c>
      <c r="Y18" s="4">
        <v>315</v>
      </c>
      <c r="Z18" s="4">
        <v>315</v>
      </c>
      <c r="AA18" s="1478">
        <v>315</v>
      </c>
      <c r="AB18" s="4">
        <v>315</v>
      </c>
      <c r="AD18" s="1478"/>
    </row>
    <row r="19" spans="2:30" outlineLevel="1">
      <c r="B19" s="101" t="s">
        <v>132</v>
      </c>
      <c r="C19" s="1387">
        <v>34.503</v>
      </c>
      <c r="D19" s="1387">
        <v>40.798999999999999</v>
      </c>
      <c r="E19" s="1387">
        <v>40</v>
      </c>
      <c r="F19" s="1387">
        <v>40</v>
      </c>
      <c r="G19" s="1387">
        <v>40</v>
      </c>
      <c r="H19" s="1477">
        <v>40.225000000000001</v>
      </c>
      <c r="I19" s="1387">
        <v>40.225000000000001</v>
      </c>
      <c r="J19" s="1387">
        <v>40.225000000000001</v>
      </c>
      <c r="K19" s="1341">
        <v>40.225000000000001</v>
      </c>
      <c r="L19" s="1477">
        <v>40.225000000000001</v>
      </c>
      <c r="M19" s="1387">
        <v>40.225000000000001</v>
      </c>
      <c r="N19" s="1387">
        <v>40.225000000000001</v>
      </c>
      <c r="O19" s="1478">
        <v>40.225000000000001</v>
      </c>
      <c r="P19" s="1341">
        <v>40.225000000000001</v>
      </c>
      <c r="Q19" s="1341">
        <v>40.225000000000001</v>
      </c>
      <c r="R19" s="4">
        <v>40</v>
      </c>
      <c r="S19" s="1478">
        <v>40</v>
      </c>
      <c r="T19" s="1341">
        <v>40</v>
      </c>
      <c r="U19" s="4">
        <v>40</v>
      </c>
      <c r="V19" s="4">
        <v>40</v>
      </c>
      <c r="W19" s="1478">
        <v>40</v>
      </c>
      <c r="X19" s="1341">
        <v>40</v>
      </c>
      <c r="Y19" s="4">
        <v>40</v>
      </c>
      <c r="Z19" s="4">
        <v>40</v>
      </c>
      <c r="AA19" s="1478">
        <v>40</v>
      </c>
      <c r="AB19" s="4">
        <v>40</v>
      </c>
      <c r="AD19" s="1478"/>
    </row>
    <row r="20" spans="2:30" outlineLevel="1">
      <c r="B20" s="101" t="s">
        <v>102</v>
      </c>
      <c r="C20" s="1387">
        <v>26.064</v>
      </c>
      <c r="D20" s="1387">
        <v>35.438000000000002</v>
      </c>
      <c r="E20" s="1387">
        <v>84</v>
      </c>
      <c r="F20" s="1387">
        <v>84</v>
      </c>
      <c r="G20" s="1387">
        <v>84</v>
      </c>
      <c r="H20" s="1477">
        <v>83.59554</v>
      </c>
      <c r="I20" s="1387">
        <v>83.59554</v>
      </c>
      <c r="J20" s="1387">
        <v>83.59554</v>
      </c>
      <c r="K20" s="1341">
        <v>83.59554</v>
      </c>
      <c r="L20" s="1477">
        <v>83.59554</v>
      </c>
      <c r="M20" s="1387">
        <v>83.59554</v>
      </c>
      <c r="N20" s="1387">
        <v>83.59554</v>
      </c>
      <c r="O20" s="1478">
        <v>109.56159999999998</v>
      </c>
      <c r="P20" s="1341">
        <v>109.56159999999998</v>
      </c>
      <c r="Q20" s="1341">
        <v>109.56159999999998</v>
      </c>
      <c r="R20" s="4">
        <v>110</v>
      </c>
      <c r="S20" s="1478">
        <v>110</v>
      </c>
      <c r="T20" s="1341">
        <v>110</v>
      </c>
      <c r="U20" s="4">
        <v>110</v>
      </c>
      <c r="V20" s="4">
        <v>110</v>
      </c>
      <c r="W20" s="1478">
        <v>110</v>
      </c>
      <c r="X20" s="1341">
        <v>110</v>
      </c>
      <c r="Y20" s="4">
        <v>110</v>
      </c>
      <c r="Z20" s="4">
        <v>110</v>
      </c>
      <c r="AA20" s="1478">
        <v>110</v>
      </c>
      <c r="AB20" s="4">
        <v>110</v>
      </c>
      <c r="AD20" s="1478"/>
    </row>
    <row r="21" spans="2:30" outlineLevel="1">
      <c r="B21" s="101" t="s">
        <v>122</v>
      </c>
      <c r="C21" s="1387">
        <v>92.781999999999996</v>
      </c>
      <c r="D21" s="1387">
        <v>142.53299999999999</v>
      </c>
      <c r="E21" s="1387">
        <v>141</v>
      </c>
      <c r="F21" s="1387">
        <v>141</v>
      </c>
      <c r="G21" s="1387">
        <v>141</v>
      </c>
      <c r="H21" s="1477">
        <v>143.3349</v>
      </c>
      <c r="I21" s="1387">
        <v>143.3349</v>
      </c>
      <c r="J21" s="1387">
        <v>143.3349</v>
      </c>
      <c r="K21" s="1341">
        <v>143.3349</v>
      </c>
      <c r="L21" s="1477">
        <v>143.3349</v>
      </c>
      <c r="M21" s="1387">
        <v>143.3349</v>
      </c>
      <c r="N21" s="1387">
        <v>143.3349</v>
      </c>
      <c r="O21" s="1478">
        <v>143.3349</v>
      </c>
      <c r="P21" s="1341">
        <v>172.86189999999999</v>
      </c>
      <c r="Q21" s="1341">
        <v>172.86189999999999</v>
      </c>
      <c r="R21" s="4">
        <v>182</v>
      </c>
      <c r="S21" s="1478">
        <v>182</v>
      </c>
      <c r="T21" s="1341">
        <v>181</v>
      </c>
      <c r="U21" s="4">
        <v>181</v>
      </c>
      <c r="V21" s="4">
        <v>173</v>
      </c>
      <c r="W21" s="1478">
        <v>173</v>
      </c>
      <c r="X21" s="1341">
        <v>173</v>
      </c>
      <c r="Y21" s="4">
        <v>173</v>
      </c>
      <c r="Z21" s="4">
        <v>173</v>
      </c>
      <c r="AA21" s="1478">
        <v>173</v>
      </c>
      <c r="AB21" s="4">
        <v>173</v>
      </c>
      <c r="AD21" s="1478"/>
    </row>
    <row r="22" spans="2:30" outlineLevel="1">
      <c r="B22" s="1369" t="s">
        <v>101</v>
      </c>
      <c r="C22" s="1387">
        <v>147.88300000000001</v>
      </c>
      <c r="D22" s="1387">
        <v>283.87099999999998</v>
      </c>
      <c r="E22" s="1387">
        <v>382</v>
      </c>
      <c r="F22" s="1387">
        <v>470</v>
      </c>
      <c r="G22" s="1387">
        <v>470</v>
      </c>
      <c r="H22" s="1477">
        <v>470.19709999999986</v>
      </c>
      <c r="I22" s="1387">
        <v>470.19709999999986</v>
      </c>
      <c r="J22" s="1387">
        <v>470.19709999999986</v>
      </c>
      <c r="K22" s="1341">
        <v>470.19709999999986</v>
      </c>
      <c r="L22" s="1477">
        <v>470.19709999999986</v>
      </c>
      <c r="M22" s="1387">
        <v>470.19709999999986</v>
      </c>
      <c r="N22" s="1387">
        <v>470.19709999999986</v>
      </c>
      <c r="O22" s="1478">
        <v>470.19709999999986</v>
      </c>
      <c r="P22" s="1341">
        <v>470.19709999999986</v>
      </c>
      <c r="Q22" s="1341">
        <v>470.19709999999986</v>
      </c>
      <c r="R22" s="4">
        <v>470</v>
      </c>
      <c r="S22" s="1478">
        <v>470</v>
      </c>
      <c r="T22" s="1341">
        <v>470</v>
      </c>
      <c r="U22" s="4">
        <v>470</v>
      </c>
      <c r="V22" s="4">
        <v>470</v>
      </c>
      <c r="W22" s="1478">
        <v>470</v>
      </c>
      <c r="X22" s="1341">
        <v>470</v>
      </c>
      <c r="Y22" s="4">
        <v>470</v>
      </c>
      <c r="Z22" s="4">
        <v>470</v>
      </c>
      <c r="AA22" s="1478">
        <v>470</v>
      </c>
      <c r="AB22" s="4">
        <v>498</v>
      </c>
      <c r="AD22" s="147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3"/>
  <dimension ref="A1:CI1709"/>
  <sheetViews>
    <sheetView workbookViewId="0"/>
  </sheetViews>
  <sheetFormatPr defaultColWidth="9.875" defaultRowHeight="11.25" outlineLevelRow="3" outlineLevelCol="1"/>
  <cols>
    <col min="1" max="1" width="0.75" style="1323" customWidth="1"/>
    <col min="2" max="2" width="39.25" style="402" customWidth="1"/>
    <col min="3" max="3" width="24.25" style="396" customWidth="1"/>
    <col min="4" max="4" width="17.75" style="396" customWidth="1"/>
    <col min="5" max="5" width="18.125" style="396" customWidth="1" collapsed="1"/>
    <col min="6" max="6" width="17.75" style="396" customWidth="1" outlineLevel="1"/>
    <col min="7" max="7" width="16.875" style="396" customWidth="1" outlineLevel="1"/>
    <col min="8" max="9" width="16.125" style="398" customWidth="1" outlineLevel="1"/>
    <col min="10" max="10" width="16.125" style="398" customWidth="1" outlineLevel="1" collapsed="1"/>
    <col min="11" max="11" width="16.125" style="398" customWidth="1" outlineLevel="1"/>
    <col min="12" max="14" width="15.25" style="399" customWidth="1" outlineLevel="1"/>
    <col min="15" max="15" width="14.375" style="399" customWidth="1" outlineLevel="1"/>
    <col min="16" max="16" width="14.375" style="400" customWidth="1" outlineLevel="1"/>
    <col min="17" max="17" width="12.75" style="400" customWidth="1" outlineLevel="1"/>
    <col min="18" max="18" width="2.75" style="1323" customWidth="1"/>
    <col min="19" max="19" width="14" style="402" bestFit="1" customWidth="1"/>
    <col min="20" max="16384" width="9.875" style="402"/>
  </cols>
  <sheetData>
    <row r="1" spans="1:18" s="138" customFormat="1" ht="22.7" customHeight="1" thickBot="1">
      <c r="A1" s="132" t="s">
        <v>222</v>
      </c>
      <c r="B1" s="133"/>
      <c r="C1" s="134">
        <v>2019</v>
      </c>
      <c r="D1" s="134">
        <v>2018</v>
      </c>
      <c r="E1" s="135">
        <v>2017</v>
      </c>
      <c r="F1" s="135">
        <v>2016</v>
      </c>
      <c r="G1" s="135">
        <v>2015</v>
      </c>
      <c r="H1" s="135">
        <v>2014</v>
      </c>
      <c r="I1" s="135">
        <v>2013</v>
      </c>
      <c r="J1" s="135">
        <v>2012</v>
      </c>
      <c r="K1" s="135">
        <v>2011</v>
      </c>
      <c r="L1" s="135">
        <v>2010</v>
      </c>
      <c r="M1" s="135">
        <v>2009</v>
      </c>
      <c r="N1" s="135">
        <v>2008</v>
      </c>
      <c r="O1" s="135">
        <v>2007</v>
      </c>
      <c r="P1" s="136">
        <v>2006</v>
      </c>
      <c r="Q1" s="136">
        <v>2005</v>
      </c>
      <c r="R1" s="137"/>
    </row>
    <row r="2" spans="1:18" s="142" customFormat="1" ht="16.350000000000001" customHeight="1">
      <c r="A2" s="1570" t="s">
        <v>223</v>
      </c>
      <c r="B2" s="1571"/>
      <c r="C2" s="139"/>
      <c r="D2" s="139"/>
      <c r="E2" s="139"/>
      <c r="F2" s="139"/>
      <c r="G2" s="139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1"/>
    </row>
    <row r="3" spans="1:18" s="148" customFormat="1" ht="16.350000000000001" customHeight="1">
      <c r="A3" s="143"/>
      <c r="B3" s="144" t="s">
        <v>224</v>
      </c>
      <c r="C3" s="145"/>
      <c r="D3" s="145">
        <v>1237015458000</v>
      </c>
      <c r="E3" s="145">
        <v>1143314410000</v>
      </c>
      <c r="F3" s="145">
        <f t="shared" ref="F3:K3" si="0">F1483</f>
        <v>1074811554000</v>
      </c>
      <c r="G3" s="145">
        <f t="shared" si="0"/>
        <v>950613336000</v>
      </c>
      <c r="H3" s="145">
        <f t="shared" si="0"/>
        <v>763527252000</v>
      </c>
      <c r="I3" s="145">
        <f t="shared" si="0"/>
        <v>579694880000</v>
      </c>
      <c r="J3" s="145">
        <f t="shared" si="0"/>
        <v>448661127000</v>
      </c>
      <c r="K3" s="145">
        <f t="shared" si="0"/>
        <v>335699949000</v>
      </c>
      <c r="L3" s="145">
        <v>236193550000</v>
      </c>
      <c r="M3" s="145">
        <v>169860970000</v>
      </c>
      <c r="N3" s="145">
        <v>132921220000</v>
      </c>
      <c r="O3" s="145">
        <v>94035350000</v>
      </c>
      <c r="P3" s="145">
        <v>68099740000</v>
      </c>
      <c r="Q3" s="146">
        <v>44531690000</v>
      </c>
      <c r="R3" s="147"/>
    </row>
    <row r="4" spans="1:18" s="155" customFormat="1" ht="16.350000000000001" customHeight="1">
      <c r="A4" s="149"/>
      <c r="B4" s="150" t="s">
        <v>225</v>
      </c>
      <c r="C4" s="151"/>
      <c r="D4" s="152">
        <f>(D3-E3)/E3</f>
        <v>8.1955625836990897E-2</v>
      </c>
      <c r="E4" s="152">
        <f>(E3-F3)/F3</f>
        <v>6.3734759591168297E-2</v>
      </c>
      <c r="F4" s="152">
        <f t="shared" ref="F4:P4" si="1">(F3-G3)/G3</f>
        <v>0.13065061607761833</v>
      </c>
      <c r="G4" s="152">
        <f t="shared" si="1"/>
        <v>0.24502869217823281</v>
      </c>
      <c r="H4" s="152">
        <f t="shared" si="1"/>
        <v>0.31711919208256589</v>
      </c>
      <c r="I4" s="152">
        <f t="shared" si="1"/>
        <v>0.2920550614138675</v>
      </c>
      <c r="J4" s="152">
        <f t="shared" si="1"/>
        <v>0.33649447471319099</v>
      </c>
      <c r="K4" s="152">
        <f t="shared" si="1"/>
        <v>0.42129177109197097</v>
      </c>
      <c r="L4" s="152">
        <f t="shared" si="1"/>
        <v>0.39051101615633066</v>
      </c>
      <c r="M4" s="152">
        <f t="shared" si="1"/>
        <v>0.2779070941419286</v>
      </c>
      <c r="N4" s="152">
        <f t="shared" si="1"/>
        <v>0.41352395668224767</v>
      </c>
      <c r="O4" s="152">
        <f t="shared" si="1"/>
        <v>0.38084741586384913</v>
      </c>
      <c r="P4" s="152">
        <f t="shared" si="1"/>
        <v>0.52924220931206523</v>
      </c>
      <c r="Q4" s="153"/>
      <c r="R4" s="154"/>
    </row>
    <row r="5" spans="1:18" s="163" customFormat="1" ht="14.1" customHeight="1">
      <c r="A5" s="156"/>
      <c r="B5" s="157" t="s">
        <v>226</v>
      </c>
      <c r="C5" s="158"/>
      <c r="D5" s="159">
        <v>9.7000000000000003E-2</v>
      </c>
      <c r="E5" s="159">
        <v>6.1899999999999997E-2</v>
      </c>
      <c r="F5" s="159">
        <v>9.4200000000000006E-2</v>
      </c>
      <c r="G5" s="159">
        <v>0.17799999999999999</v>
      </c>
      <c r="H5" s="159">
        <v>0.35899999999999999</v>
      </c>
      <c r="I5" s="159">
        <v>0.2581</v>
      </c>
      <c r="J5" s="159">
        <v>0.35239999999999999</v>
      </c>
      <c r="K5" s="160">
        <v>0.33254670062077762</v>
      </c>
      <c r="L5" s="160">
        <v>0.49354304301144492</v>
      </c>
      <c r="M5" s="160">
        <v>0.21230201631155232</v>
      </c>
      <c r="N5" s="160">
        <v>0.44357550862645789</v>
      </c>
      <c r="O5" s="160">
        <v>0.33214955014295744</v>
      </c>
      <c r="P5" s="160">
        <v>0.53447674418604652</v>
      </c>
      <c r="Q5" s="161"/>
      <c r="R5" s="162"/>
    </row>
    <row r="6" spans="1:18" s="163" customFormat="1" ht="14.1" customHeight="1">
      <c r="A6" s="156"/>
      <c r="B6" s="157" t="s">
        <v>227</v>
      </c>
      <c r="C6" s="158"/>
      <c r="D6" s="159">
        <v>8.4000000000000005E-2</v>
      </c>
      <c r="E6" s="159">
        <v>6.4600000000000005E-2</v>
      </c>
      <c r="F6" s="159">
        <v>0.1399</v>
      </c>
      <c r="G6" s="159">
        <v>0.21690000000000001</v>
      </c>
      <c r="H6" s="159">
        <v>0.34150000000000003</v>
      </c>
      <c r="I6" s="159">
        <v>0.29010000000000002</v>
      </c>
      <c r="J6" s="159">
        <v>0.33853057094322048</v>
      </c>
      <c r="K6" s="159">
        <v>0.33853057094322048</v>
      </c>
      <c r="L6" s="159">
        <v>0.37368910798535637</v>
      </c>
      <c r="M6" s="159">
        <v>0.40728762168200427</v>
      </c>
      <c r="N6" s="159">
        <v>0.26452275179935025</v>
      </c>
      <c r="O6" s="159">
        <v>0.43177294903044228</v>
      </c>
      <c r="P6" s="159">
        <v>0.33760297435414888</v>
      </c>
      <c r="Q6" s="164"/>
      <c r="R6" s="162"/>
    </row>
    <row r="7" spans="1:18" s="163" customFormat="1" ht="14.1" customHeight="1">
      <c r="A7" s="156"/>
      <c r="B7" s="165" t="s">
        <v>228</v>
      </c>
      <c r="C7" s="158"/>
      <c r="D7" s="159">
        <v>6.5000000000000002E-2</v>
      </c>
      <c r="E7" s="159">
        <v>8.1900000000000001E-2</v>
      </c>
      <c r="F7" s="159">
        <v>0.1278</v>
      </c>
      <c r="G7" s="159">
        <v>0.27560000000000001</v>
      </c>
      <c r="H7" s="159">
        <v>0.30690000000000001</v>
      </c>
      <c r="I7" s="159">
        <v>0.32350000000000001</v>
      </c>
      <c r="J7" s="159">
        <v>0.31199722257956486</v>
      </c>
      <c r="K7" s="159">
        <v>0.31199722257956486</v>
      </c>
      <c r="L7" s="159">
        <v>0.49196668551218647</v>
      </c>
      <c r="M7" s="159">
        <v>0.35390976065318736</v>
      </c>
      <c r="N7" s="159">
        <v>0.30352454913864091</v>
      </c>
      <c r="O7" s="159">
        <v>0.39635559238870433</v>
      </c>
      <c r="P7" s="159">
        <v>0.40492678928210801</v>
      </c>
      <c r="Q7" s="164"/>
      <c r="R7" s="162"/>
    </row>
    <row r="8" spans="1:18" s="163" customFormat="1" ht="14.1" customHeight="1">
      <c r="A8" s="156"/>
      <c r="B8" s="166" t="s">
        <v>229</v>
      </c>
      <c r="C8" s="158"/>
      <c r="D8" s="159">
        <v>8.0799999999999997E-2</v>
      </c>
      <c r="E8" s="159">
        <v>4.58E-2</v>
      </c>
      <c r="F8" s="159">
        <v>0.1671</v>
      </c>
      <c r="G8" s="159">
        <v>0.33400000000000002</v>
      </c>
      <c r="H8" s="159">
        <v>0.2495</v>
      </c>
      <c r="I8" s="159">
        <v>0.30430000000000001</v>
      </c>
      <c r="J8" s="159">
        <v>0.34063917887583095</v>
      </c>
      <c r="K8" s="159">
        <v>0.53139999999999998</v>
      </c>
      <c r="L8" s="159">
        <v>0.28089999999999998</v>
      </c>
      <c r="M8" s="159">
        <v>0.35799999999999998</v>
      </c>
      <c r="N8" s="159">
        <v>0.371</v>
      </c>
      <c r="O8" s="159">
        <v>0.48099999999999998</v>
      </c>
      <c r="P8" s="159">
        <v>0.57410000000000005</v>
      </c>
      <c r="Q8" s="164"/>
      <c r="R8" s="162"/>
    </row>
    <row r="9" spans="1:18" s="148" customFormat="1" ht="16.350000000000001" customHeight="1">
      <c r="A9" s="143"/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9"/>
      <c r="R9" s="170"/>
    </row>
    <row r="10" spans="1:18" s="148" customFormat="1" ht="16.350000000000001" customHeight="1">
      <c r="A10" s="143"/>
      <c r="B10" s="171" t="s">
        <v>230</v>
      </c>
      <c r="C10" s="145"/>
      <c r="D10" s="145">
        <f>E10+D12</f>
        <v>6423610</v>
      </c>
      <c r="E10" s="145">
        <f>F10+E12</f>
        <v>5754940</v>
      </c>
      <c r="F10" s="145">
        <f t="shared" ref="F10:O10" si="2">G10+F12</f>
        <v>5067670</v>
      </c>
      <c r="G10" s="145">
        <f t="shared" si="2"/>
        <v>4413720</v>
      </c>
      <c r="H10" s="145">
        <f t="shared" si="2"/>
        <v>3590640</v>
      </c>
      <c r="I10" s="145">
        <f t="shared" si="2"/>
        <v>3011380</v>
      </c>
      <c r="J10" s="145">
        <f t="shared" si="2"/>
        <v>2549260</v>
      </c>
      <c r="K10" s="145">
        <f t="shared" si="2"/>
        <v>1970160</v>
      </c>
      <c r="L10" s="145">
        <f t="shared" si="2"/>
        <v>1422380</v>
      </c>
      <c r="M10" s="145">
        <f t="shared" si="2"/>
        <v>1059867</v>
      </c>
      <c r="N10" s="145">
        <f t="shared" si="2"/>
        <v>823507</v>
      </c>
      <c r="O10" s="145">
        <f t="shared" si="2"/>
        <v>651658</v>
      </c>
      <c r="P10" s="172">
        <v>522916</v>
      </c>
      <c r="Q10" s="173"/>
      <c r="R10" s="170"/>
    </row>
    <row r="11" spans="1:18" s="181" customFormat="1" ht="16.350000000000001" customHeight="1">
      <c r="A11" s="174"/>
      <c r="B11" s="175" t="s">
        <v>225</v>
      </c>
      <c r="C11" s="176"/>
      <c r="D11" s="177">
        <f t="shared" ref="D11:O11" si="3">D12/E10</f>
        <v>0.11619061189169652</v>
      </c>
      <c r="E11" s="177">
        <f t="shared" si="3"/>
        <v>0.13561853869727114</v>
      </c>
      <c r="F11" s="177">
        <f t="shared" si="3"/>
        <v>0.14816300082470116</v>
      </c>
      <c r="G11" s="177">
        <f t="shared" si="3"/>
        <v>0.22922932959026804</v>
      </c>
      <c r="H11" s="177">
        <f t="shared" si="3"/>
        <v>0.19235699247521071</v>
      </c>
      <c r="I11" s="177">
        <f t="shared" si="3"/>
        <v>0.18127613503526513</v>
      </c>
      <c r="J11" s="177">
        <f t="shared" si="3"/>
        <v>0.29393551792747796</v>
      </c>
      <c r="K11" s="177">
        <f t="shared" si="3"/>
        <v>0.3851150887948368</v>
      </c>
      <c r="L11" s="177">
        <f>L12/M10</f>
        <v>0.34203631210331109</v>
      </c>
      <c r="M11" s="177">
        <f t="shared" si="3"/>
        <v>0.28701638237440602</v>
      </c>
      <c r="N11" s="177">
        <f t="shared" si="3"/>
        <v>0.26371041251699512</v>
      </c>
      <c r="O11" s="177">
        <f t="shared" si="3"/>
        <v>0.24620015451812527</v>
      </c>
      <c r="P11" s="178"/>
      <c r="Q11" s="179"/>
      <c r="R11" s="180"/>
    </row>
    <row r="12" spans="1:18" s="148" customFormat="1" ht="16.350000000000001" customHeight="1">
      <c r="A12" s="143"/>
      <c r="B12" s="182" t="s">
        <v>231</v>
      </c>
      <c r="C12" s="145"/>
      <c r="D12" s="145">
        <f>SUM(D13:D16)</f>
        <v>668670</v>
      </c>
      <c r="E12" s="145">
        <v>687270</v>
      </c>
      <c r="F12" s="145">
        <f>F16+F15+F14+F13</f>
        <v>653950</v>
      </c>
      <c r="G12" s="145">
        <f t="shared" ref="G12:O12" si="4">G16+G15+G14+G13</f>
        <v>823080</v>
      </c>
      <c r="H12" s="145">
        <f t="shared" si="4"/>
        <v>579260</v>
      </c>
      <c r="I12" s="145">
        <f t="shared" si="4"/>
        <v>462120</v>
      </c>
      <c r="J12" s="145">
        <f t="shared" si="4"/>
        <v>579100</v>
      </c>
      <c r="K12" s="145">
        <f t="shared" si="4"/>
        <v>547780</v>
      </c>
      <c r="L12" s="145">
        <f t="shared" si="4"/>
        <v>362513</v>
      </c>
      <c r="M12" s="145">
        <f t="shared" si="4"/>
        <v>236360</v>
      </c>
      <c r="N12" s="145">
        <f t="shared" si="4"/>
        <v>171849</v>
      </c>
      <c r="O12" s="145">
        <f t="shared" si="4"/>
        <v>128742</v>
      </c>
      <c r="P12" s="172">
        <v>140307</v>
      </c>
      <c r="Q12" s="173"/>
      <c r="R12" s="170"/>
    </row>
    <row r="13" spans="1:18" s="187" customFormat="1" ht="16.350000000000001" customHeight="1">
      <c r="A13" s="183"/>
      <c r="B13" s="157" t="s">
        <v>226</v>
      </c>
      <c r="C13" s="184"/>
      <c r="D13" s="184">
        <f>ROUND(331508,-1)</f>
        <v>331510</v>
      </c>
      <c r="E13" s="184">
        <v>192460</v>
      </c>
      <c r="F13" s="184">
        <v>242280</v>
      </c>
      <c r="G13" s="184">
        <v>258730</v>
      </c>
      <c r="H13" s="184">
        <v>263640</v>
      </c>
      <c r="I13" s="184">
        <v>169990</v>
      </c>
      <c r="J13" s="184">
        <v>288380</v>
      </c>
      <c r="K13" s="184">
        <v>229740</v>
      </c>
      <c r="L13" s="184">
        <v>181290</v>
      </c>
      <c r="M13" s="184">
        <v>92639</v>
      </c>
      <c r="N13" s="184">
        <v>69923</v>
      </c>
      <c r="O13" s="184">
        <v>58605</v>
      </c>
      <c r="P13" s="184"/>
      <c r="Q13" s="185"/>
      <c r="R13" s="186"/>
    </row>
    <row r="14" spans="1:18" s="187" customFormat="1" ht="16.350000000000001" customHeight="1">
      <c r="A14" s="183"/>
      <c r="B14" s="157" t="s">
        <v>227</v>
      </c>
      <c r="C14" s="184"/>
      <c r="D14" s="184">
        <f>ROUND(147522,-1)</f>
        <v>147520</v>
      </c>
      <c r="E14" s="184">
        <v>242870</v>
      </c>
      <c r="F14" s="184">
        <v>148190</v>
      </c>
      <c r="G14" s="184">
        <v>226990</v>
      </c>
      <c r="H14" s="184">
        <v>137790</v>
      </c>
      <c r="I14" s="184">
        <v>93300</v>
      </c>
      <c r="J14" s="184">
        <v>141350</v>
      </c>
      <c r="K14" s="184">
        <v>127570</v>
      </c>
      <c r="L14" s="184">
        <v>84972</v>
      </c>
      <c r="M14" s="184">
        <v>62013</v>
      </c>
      <c r="N14" s="184">
        <v>38980</v>
      </c>
      <c r="O14" s="184">
        <v>22352</v>
      </c>
      <c r="P14" s="184"/>
      <c r="Q14" s="185"/>
      <c r="R14" s="186"/>
    </row>
    <row r="15" spans="1:18" s="187" customFormat="1" ht="16.350000000000001" customHeight="1">
      <c r="A15" s="183"/>
      <c r="B15" s="165" t="s">
        <v>228</v>
      </c>
      <c r="C15" s="184"/>
      <c r="D15" s="184">
        <f>ROUND(114878.3,-1)</f>
        <v>114880</v>
      </c>
      <c r="E15" s="184">
        <v>171610</v>
      </c>
      <c r="F15" s="184">
        <v>153570</v>
      </c>
      <c r="G15" s="184">
        <v>195270</v>
      </c>
      <c r="H15" s="184">
        <v>120600</v>
      </c>
      <c r="I15" s="184">
        <v>118210</v>
      </c>
      <c r="J15" s="184">
        <v>94630</v>
      </c>
      <c r="K15" s="184">
        <v>127130</v>
      </c>
      <c r="L15" s="184">
        <v>63508</v>
      </c>
      <c r="M15" s="184">
        <v>50955</v>
      </c>
      <c r="N15" s="184">
        <v>39669</v>
      </c>
      <c r="O15" s="184">
        <v>24212</v>
      </c>
      <c r="P15" s="184"/>
      <c r="Q15" s="185"/>
      <c r="R15" s="186"/>
    </row>
    <row r="16" spans="1:18" s="187" customFormat="1" ht="16.350000000000001" customHeight="1">
      <c r="A16" s="183"/>
      <c r="B16" s="166" t="s">
        <v>229</v>
      </c>
      <c r="C16" s="184"/>
      <c r="D16" s="184">
        <f>ROUND(74756.7000000002,-1)</f>
        <v>74760</v>
      </c>
      <c r="E16" s="184">
        <v>80320</v>
      </c>
      <c r="F16" s="184">
        <v>109910</v>
      </c>
      <c r="G16" s="184">
        <v>142090</v>
      </c>
      <c r="H16" s="184">
        <v>57230</v>
      </c>
      <c r="I16" s="184">
        <v>80620</v>
      </c>
      <c r="J16" s="184">
        <v>54740</v>
      </c>
      <c r="K16" s="184">
        <v>63340</v>
      </c>
      <c r="L16" s="184">
        <v>32743</v>
      </c>
      <c r="M16" s="184">
        <v>30753</v>
      </c>
      <c r="N16" s="184">
        <v>23277</v>
      </c>
      <c r="O16" s="184">
        <v>23573</v>
      </c>
      <c r="P16" s="184"/>
      <c r="Q16" s="185"/>
      <c r="R16" s="186"/>
    </row>
    <row r="17" spans="1:18" s="148" customFormat="1" ht="16.350000000000001" customHeight="1">
      <c r="A17" s="143"/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88"/>
      <c r="M17" s="168"/>
      <c r="N17" s="168"/>
      <c r="O17" s="168"/>
      <c r="P17" s="168"/>
      <c r="Q17" s="169"/>
      <c r="R17" s="170"/>
    </row>
    <row r="18" spans="1:18" s="194" customFormat="1" ht="16.350000000000001" customHeight="1">
      <c r="A18" s="189"/>
      <c r="B18" s="190" t="s">
        <v>232</v>
      </c>
      <c r="C18" s="191"/>
      <c r="D18" s="191">
        <v>7.2699729601550175E-2</v>
      </c>
      <c r="E18" s="191">
        <v>8.0299999999999996E-2</v>
      </c>
      <c r="F18" s="191">
        <f t="shared" ref="F18:K18" si="5">F95</f>
        <v>9.9230410766499813E-2</v>
      </c>
      <c r="G18" s="191">
        <f t="shared" si="5"/>
        <v>0.11214438716858061</v>
      </c>
      <c r="H18" s="191">
        <f t="shared" si="5"/>
        <v>0.11620259757277138</v>
      </c>
      <c r="I18" s="191">
        <f t="shared" si="5"/>
        <v>0.11225261123575905</v>
      </c>
      <c r="J18" s="191">
        <f t="shared" si="5"/>
        <v>0.10534540024903918</v>
      </c>
      <c r="K18" s="191">
        <f t="shared" si="5"/>
        <v>8.2111907023256658E-2</v>
      </c>
      <c r="L18" s="191"/>
      <c r="M18" s="191"/>
      <c r="N18" s="191"/>
      <c r="O18" s="191"/>
      <c r="P18" s="191"/>
      <c r="Q18" s="192"/>
      <c r="R18" s="193"/>
    </row>
    <row r="19" spans="1:18" s="199" customFormat="1" ht="16.350000000000001" customHeight="1">
      <c r="A19" s="195"/>
      <c r="B19" s="157" t="s">
        <v>226</v>
      </c>
      <c r="C19" s="196"/>
      <c r="D19" s="196">
        <v>7.0324301093855041E-2</v>
      </c>
      <c r="E19" s="196">
        <v>7.3800000000000004E-2</v>
      </c>
      <c r="F19" s="196">
        <v>9.6699999999999994E-2</v>
      </c>
      <c r="G19" s="196">
        <v>0.1109</v>
      </c>
      <c r="H19" s="196">
        <v>0.11459999999999999</v>
      </c>
      <c r="I19" s="196">
        <v>0.125</v>
      </c>
      <c r="J19" s="196">
        <v>0.1133</v>
      </c>
      <c r="K19" s="196">
        <v>0.108</v>
      </c>
      <c r="L19" s="196"/>
      <c r="M19" s="196"/>
      <c r="N19" s="196"/>
      <c r="O19" s="196"/>
      <c r="P19" s="196"/>
      <c r="Q19" s="197"/>
      <c r="R19" s="198"/>
    </row>
    <row r="20" spans="1:18" s="199" customFormat="1" ht="16.350000000000001" customHeight="1">
      <c r="A20" s="195"/>
      <c r="B20" s="157" t="s">
        <v>227</v>
      </c>
      <c r="C20" s="196"/>
      <c r="D20" s="196">
        <v>7.01102898356884E-2</v>
      </c>
      <c r="E20" s="196">
        <v>7.2300000000000003E-2</v>
      </c>
      <c r="F20" s="196">
        <v>0.1067</v>
      </c>
      <c r="G20" s="196">
        <v>0.1124</v>
      </c>
      <c r="H20" s="196">
        <v>0.1242</v>
      </c>
      <c r="I20" s="196">
        <v>0.1164</v>
      </c>
      <c r="J20" s="196">
        <v>0.109</v>
      </c>
      <c r="K20" s="196"/>
      <c r="L20" s="196"/>
      <c r="M20" s="196"/>
      <c r="N20" s="196"/>
      <c r="O20" s="196"/>
      <c r="P20" s="196"/>
      <c r="Q20" s="197"/>
      <c r="R20" s="198"/>
    </row>
    <row r="21" spans="1:18" s="199" customFormat="1" ht="16.350000000000001" customHeight="1">
      <c r="A21" s="195"/>
      <c r="B21" s="165" t="s">
        <v>228</v>
      </c>
      <c r="C21" s="196"/>
      <c r="D21" s="196">
        <v>7.7153635626793463E-2</v>
      </c>
      <c r="E21" s="196">
        <v>9.6500000000000002E-2</v>
      </c>
      <c r="F21" s="196">
        <v>0.1195</v>
      </c>
      <c r="G21" s="196">
        <v>0.1196</v>
      </c>
      <c r="H21" s="196">
        <v>0.1171</v>
      </c>
      <c r="I21" s="196">
        <v>0.1087</v>
      </c>
      <c r="J21" s="196">
        <v>0.1013</v>
      </c>
      <c r="K21" s="196"/>
      <c r="L21" s="196"/>
      <c r="M21" s="196"/>
      <c r="N21" s="196"/>
      <c r="O21" s="196"/>
      <c r="P21" s="196"/>
      <c r="Q21" s="197"/>
      <c r="R21" s="198"/>
    </row>
    <row r="22" spans="1:18" s="199" customFormat="1" ht="16.350000000000001" customHeight="1">
      <c r="A22" s="195"/>
      <c r="B22" s="166" t="s">
        <v>229</v>
      </c>
      <c r="C22" s="196"/>
      <c r="D22" s="196">
        <v>7.1043407207570866E-2</v>
      </c>
      <c r="E22" s="196">
        <v>7.8600000000000003E-2</v>
      </c>
      <c r="F22" s="196">
        <v>7.7499999999999999E-2</v>
      </c>
      <c r="G22" s="196">
        <v>9.3200000000000005E-2</v>
      </c>
      <c r="H22" s="196">
        <v>9.0700000000000003E-2</v>
      </c>
      <c r="I22" s="196">
        <v>9.3100000000000002E-2</v>
      </c>
      <c r="J22" s="196">
        <v>9.6500000000000002E-2</v>
      </c>
      <c r="K22" s="196"/>
      <c r="L22" s="196"/>
      <c r="M22" s="196"/>
      <c r="N22" s="196"/>
      <c r="O22" s="196"/>
      <c r="P22" s="196"/>
      <c r="Q22" s="197"/>
      <c r="R22" s="198"/>
    </row>
    <row r="23" spans="1:18" s="205" customFormat="1" ht="16.350000000000001" customHeight="1">
      <c r="A23" s="200"/>
      <c r="B23" s="201"/>
      <c r="C23" s="202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4"/>
    </row>
    <row r="24" spans="1:18" s="194" customFormat="1" ht="16.350000000000001" customHeight="1">
      <c r="A24" s="189"/>
      <c r="B24" s="206" t="s">
        <v>233</v>
      </c>
      <c r="C24" s="191"/>
      <c r="D24" s="191">
        <v>-2.4545959341301275E-2</v>
      </c>
      <c r="E24" s="191">
        <f t="shared" ref="E24:P26" si="6">E1010</f>
        <v>-3.3700000000000001E-2</v>
      </c>
      <c r="F24" s="191">
        <f t="shared" si="6"/>
        <v>-2.5999999999999999E-3</v>
      </c>
      <c r="G24" s="191">
        <f t="shared" si="6"/>
        <v>6.2100000000000002E-2</v>
      </c>
      <c r="H24" s="191">
        <f t="shared" si="6"/>
        <v>0.1447</v>
      </c>
      <c r="I24" s="191">
        <f t="shared" si="6"/>
        <v>7.4700000000000003E-2</v>
      </c>
      <c r="J24" s="191">
        <f t="shared" si="6"/>
        <v>5.2600000000000001E-2</v>
      </c>
      <c r="K24" s="191">
        <f t="shared" si="6"/>
        <v>0.1109</v>
      </c>
      <c r="L24" s="191">
        <f t="shared" si="6"/>
        <v>9.1899999999999996E-2</v>
      </c>
      <c r="M24" s="191">
        <f t="shared" si="6"/>
        <v>4.1399999999999999E-2</v>
      </c>
      <c r="N24" s="191">
        <f t="shared" si="6"/>
        <v>0.18840000000000001</v>
      </c>
      <c r="O24" s="191">
        <f t="shared" si="6"/>
        <v>0.1391</v>
      </c>
      <c r="P24" s="191">
        <f t="shared" si="6"/>
        <v>0.13189999999999999</v>
      </c>
      <c r="Q24" s="202"/>
      <c r="R24" s="193"/>
    </row>
    <row r="25" spans="1:18" s="212" customFormat="1" ht="16.350000000000001" customHeight="1">
      <c r="A25" s="207"/>
      <c r="B25" s="208" t="s">
        <v>234</v>
      </c>
      <c r="C25" s="209"/>
      <c r="D25" s="209">
        <v>1.0672373811765399E-3</v>
      </c>
      <c r="E25" s="209">
        <f t="shared" si="6"/>
        <v>-2.0999999999999999E-3</v>
      </c>
      <c r="F25" s="209">
        <f t="shared" si="6"/>
        <v>-8.9999999999999993E-3</v>
      </c>
      <c r="G25" s="209">
        <f t="shared" si="6"/>
        <v>7.2300000000000003E-2</v>
      </c>
      <c r="H25" s="209">
        <f t="shared" si="6"/>
        <v>9.5799999999999996E-2</v>
      </c>
      <c r="I25" s="209">
        <f t="shared" si="6"/>
        <v>5.8900000000000001E-2</v>
      </c>
      <c r="J25" s="209">
        <f t="shared" si="6"/>
        <v>5.6300000000000003E-2</v>
      </c>
      <c r="K25" s="209">
        <f t="shared" si="6"/>
        <v>9.6699999999999994E-2</v>
      </c>
      <c r="L25" s="209">
        <f t="shared" si="6"/>
        <v>5.9700000000000003E-2</v>
      </c>
      <c r="M25" s="209">
        <f t="shared" si="6"/>
        <v>5.7500000000000002E-2</v>
      </c>
      <c r="N25" s="209">
        <f t="shared" si="6"/>
        <v>0.21659999999999999</v>
      </c>
      <c r="O25" s="209">
        <f t="shared" si="6"/>
        <v>0.1484</v>
      </c>
      <c r="P25" s="209">
        <f t="shared" si="6"/>
        <v>0.1011</v>
      </c>
      <c r="Q25" s="210"/>
      <c r="R25" s="211"/>
    </row>
    <row r="26" spans="1:18" s="212" customFormat="1" ht="16.350000000000001" customHeight="1">
      <c r="A26" s="207"/>
      <c r="B26" s="208" t="s">
        <v>235</v>
      </c>
      <c r="C26" s="209"/>
      <c r="D26" s="209">
        <v>-2.5585890503702014E-2</v>
      </c>
      <c r="E26" s="209">
        <f t="shared" si="6"/>
        <v>-3.1699999999999999E-2</v>
      </c>
      <c r="F26" s="209">
        <f t="shared" si="6"/>
        <v>6.4999999999999997E-3</v>
      </c>
      <c r="G26" s="209">
        <f t="shared" si="6"/>
        <v>-9.5999999999999992E-3</v>
      </c>
      <c r="H26" s="209">
        <f t="shared" si="6"/>
        <v>4.4699999999999997E-2</v>
      </c>
      <c r="I26" s="209">
        <f t="shared" si="6"/>
        <v>1.4999999999999999E-2</v>
      </c>
      <c r="J26" s="209">
        <f t="shared" si="6"/>
        <v>-3.5000000000000001E-3</v>
      </c>
      <c r="K26" s="209">
        <f t="shared" si="6"/>
        <v>1.29E-2</v>
      </c>
      <c r="L26" s="209">
        <f t="shared" si="6"/>
        <v>3.0300000000000001E-2</v>
      </c>
      <c r="M26" s="209">
        <f t="shared" si="6"/>
        <v>-1.52E-2</v>
      </c>
      <c r="N26" s="209">
        <f t="shared" si="6"/>
        <v>-2.3199999999999998E-2</v>
      </c>
      <c r="O26" s="209">
        <f t="shared" si="6"/>
        <v>-7.7999999999999996E-3</v>
      </c>
      <c r="P26" s="209">
        <f t="shared" si="6"/>
        <v>2.8000000000000001E-2</v>
      </c>
      <c r="Q26" s="210"/>
      <c r="R26" s="211"/>
    </row>
    <row r="27" spans="1:18" s="148" customFormat="1" ht="16.350000000000001" customHeight="1">
      <c r="A27" s="143"/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9"/>
      <c r="R27" s="170"/>
    </row>
    <row r="28" spans="1:18" s="194" customFormat="1" ht="16.350000000000001" customHeight="1">
      <c r="A28" s="189"/>
      <c r="B28" s="213" t="s">
        <v>236</v>
      </c>
      <c r="C28" s="191"/>
      <c r="D28" s="191">
        <f t="shared" ref="D28:O28" si="7">D4-D11</f>
        <v>-3.4234986054705624E-2</v>
      </c>
      <c r="E28" s="191">
        <f t="shared" si="7"/>
        <v>-7.1883779106102844E-2</v>
      </c>
      <c r="F28" s="191">
        <f t="shared" si="7"/>
        <v>-1.7512384747082832E-2</v>
      </c>
      <c r="G28" s="191">
        <f t="shared" si="7"/>
        <v>1.5799362587964771E-2</v>
      </c>
      <c r="H28" s="191">
        <f t="shared" si="7"/>
        <v>0.12476219960735518</v>
      </c>
      <c r="I28" s="191">
        <f t="shared" si="7"/>
        <v>0.11077892637860237</v>
      </c>
      <c r="J28" s="191">
        <f t="shared" si="7"/>
        <v>4.2558956785713031E-2</v>
      </c>
      <c r="K28" s="191">
        <f t="shared" si="7"/>
        <v>3.6176682297134166E-2</v>
      </c>
      <c r="L28" s="191">
        <f t="shared" si="7"/>
        <v>4.8474704053019568E-2</v>
      </c>
      <c r="M28" s="191">
        <f t="shared" si="7"/>
        <v>-9.1092882324774194E-3</v>
      </c>
      <c r="N28" s="191">
        <f t="shared" si="7"/>
        <v>0.14981354416525255</v>
      </c>
      <c r="O28" s="191">
        <f t="shared" si="7"/>
        <v>0.13464726134572386</v>
      </c>
      <c r="P28" s="202"/>
      <c r="Q28" s="202"/>
      <c r="R28" s="193"/>
    </row>
    <row r="29" spans="1:18" s="148" customFormat="1" ht="16.350000000000001" customHeight="1">
      <c r="A29" s="143"/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9"/>
      <c r="R29" s="170"/>
    </row>
    <row r="30" spans="1:18" s="148" customFormat="1" ht="16.350000000000001" customHeight="1">
      <c r="A30" s="143"/>
      <c r="B30" s="167" t="s">
        <v>237</v>
      </c>
      <c r="C30" s="168"/>
      <c r="D30" s="168">
        <f>D1611</f>
        <v>64737318000</v>
      </c>
      <c r="E30" s="168">
        <f>E1611</f>
        <v>61008294000</v>
      </c>
      <c r="F30" s="168">
        <f t="shared" ref="F30:K30" si="8">F1611</f>
        <v>63041977000</v>
      </c>
      <c r="G30" s="168">
        <f t="shared" si="8"/>
        <v>72781291000</v>
      </c>
      <c r="H30" s="168">
        <f t="shared" si="8"/>
        <v>60711490000</v>
      </c>
      <c r="I30" s="168">
        <f t="shared" si="8"/>
        <v>44624441000</v>
      </c>
      <c r="J30" s="168">
        <f t="shared" si="8"/>
        <v>36670302000</v>
      </c>
      <c r="K30" s="168">
        <f t="shared" si="8"/>
        <v>28576356000</v>
      </c>
      <c r="L30" s="168"/>
      <c r="M30" s="168"/>
      <c r="N30" s="168"/>
      <c r="O30" s="168"/>
      <c r="P30" s="168"/>
      <c r="Q30" s="169"/>
      <c r="R30" s="170"/>
    </row>
    <row r="31" spans="1:18" s="221" customFormat="1" ht="16.350000000000001" customHeight="1">
      <c r="A31" s="214"/>
      <c r="B31" s="215" t="s">
        <v>238</v>
      </c>
      <c r="C31" s="216"/>
      <c r="D31" s="216">
        <f>D1201*-1</f>
        <v>-31261392000</v>
      </c>
      <c r="E31" s="216">
        <f>E1201*-1</f>
        <v>-44253522000</v>
      </c>
      <c r="F31" s="216">
        <f t="shared" ref="F31:K31" si="9">F1201*-1</f>
        <v>-31694123000</v>
      </c>
      <c r="G31" s="216">
        <f t="shared" si="9"/>
        <v>-36242440000</v>
      </c>
      <c r="H31" s="217">
        <f t="shared" si="9"/>
        <v>-36315299000</v>
      </c>
      <c r="I31" s="217">
        <f t="shared" si="9"/>
        <v>-28887505000</v>
      </c>
      <c r="J31" s="217">
        <f t="shared" si="9"/>
        <v>-31729151000</v>
      </c>
      <c r="K31" s="217">
        <f t="shared" si="9"/>
        <v>-30141147000</v>
      </c>
      <c r="L31" s="217"/>
      <c r="M31" s="217"/>
      <c r="N31" s="217"/>
      <c r="O31" s="217"/>
      <c r="P31" s="218"/>
      <c r="Q31" s="219"/>
      <c r="R31" s="220"/>
    </row>
    <row r="32" spans="1:18" s="221" customFormat="1" ht="16.350000000000001" customHeight="1">
      <c r="A32" s="214"/>
      <c r="B32" s="215" t="s">
        <v>239</v>
      </c>
      <c r="C32" s="216"/>
      <c r="D32" s="216">
        <f t="shared" ref="D32:K32" si="10">D1124*-1</f>
        <v>-49661000</v>
      </c>
      <c r="E32" s="216">
        <f t="shared" si="10"/>
        <v>-801677000</v>
      </c>
      <c r="F32" s="216">
        <f t="shared" si="10"/>
        <v>-1419057000</v>
      </c>
      <c r="G32" s="216">
        <f t="shared" si="10"/>
        <v>-1477785000</v>
      </c>
      <c r="H32" s="217">
        <f t="shared" si="10"/>
        <v>-2706101000</v>
      </c>
      <c r="I32" s="217">
        <f t="shared" si="10"/>
        <v>-1447313000</v>
      </c>
      <c r="J32" s="217">
        <f t="shared" si="10"/>
        <v>-1431339000</v>
      </c>
      <c r="K32" s="217">
        <f t="shared" si="10"/>
        <v>-1753730000</v>
      </c>
      <c r="L32" s="217"/>
      <c r="M32" s="217"/>
      <c r="N32" s="217"/>
      <c r="O32" s="217"/>
      <c r="P32" s="218"/>
      <c r="Q32" s="219"/>
      <c r="R32" s="220"/>
    </row>
    <row r="33" spans="1:18" s="221" customFormat="1" ht="16.350000000000001" customHeight="1">
      <c r="A33" s="214"/>
      <c r="B33" s="215" t="s">
        <v>240</v>
      </c>
      <c r="C33" s="216"/>
      <c r="D33" s="216">
        <f t="shared" ref="D33:K33" si="11">D1163*-1</f>
        <v>-14693139000</v>
      </c>
      <c r="E33" s="216">
        <f t="shared" si="11"/>
        <v>-20355439000</v>
      </c>
      <c r="F33" s="216">
        <f t="shared" si="11"/>
        <v>-16325769000</v>
      </c>
      <c r="G33" s="216">
        <f t="shared" si="11"/>
        <v>-15749811000</v>
      </c>
      <c r="H33" s="217">
        <f t="shared" si="11"/>
        <v>-11552940000</v>
      </c>
      <c r="I33" s="217">
        <f t="shared" si="11"/>
        <v>-11537792000</v>
      </c>
      <c r="J33" s="217">
        <f t="shared" si="11"/>
        <v>-10097692000</v>
      </c>
      <c r="K33" s="217">
        <f t="shared" si="11"/>
        <v>-11168113000</v>
      </c>
      <c r="L33" s="217"/>
      <c r="M33" s="217"/>
      <c r="N33" s="217"/>
      <c r="O33" s="217"/>
      <c r="P33" s="218"/>
      <c r="Q33" s="219"/>
      <c r="R33" s="220"/>
    </row>
    <row r="34" spans="1:18" s="221" customFormat="1" ht="16.350000000000001" customHeight="1">
      <c r="A34" s="214"/>
      <c r="B34" s="222" t="s">
        <v>241</v>
      </c>
      <c r="C34" s="223"/>
      <c r="D34" s="223">
        <f t="shared" ref="D34:K34" si="12">D1182*-1</f>
        <v>-5446876000</v>
      </c>
      <c r="E34" s="223">
        <f t="shared" si="12"/>
        <v>-7927982000</v>
      </c>
      <c r="F34" s="223">
        <f t="shared" si="12"/>
        <v>-372571000</v>
      </c>
      <c r="G34" s="223">
        <f t="shared" si="12"/>
        <v>-541250000</v>
      </c>
      <c r="H34" s="224">
        <f t="shared" si="12"/>
        <v>-5156044000</v>
      </c>
      <c r="I34" s="224">
        <f t="shared" si="12"/>
        <v>-8201359000</v>
      </c>
      <c r="J34" s="224">
        <f t="shared" si="12"/>
        <v>-4445577000</v>
      </c>
      <c r="K34" s="224">
        <f t="shared" si="12"/>
        <v>-6962004000</v>
      </c>
      <c r="L34" s="225"/>
      <c r="M34" s="224"/>
      <c r="N34" s="224"/>
      <c r="O34" s="224"/>
      <c r="P34" s="226"/>
      <c r="Q34" s="227"/>
      <c r="R34" s="220"/>
    </row>
    <row r="35" spans="1:18" s="221" customFormat="1" ht="16.350000000000001" customHeight="1">
      <c r="A35" s="214"/>
      <c r="B35" s="215" t="s">
        <v>242</v>
      </c>
      <c r="C35" s="223"/>
      <c r="D35" s="223">
        <f>D1144*-1</f>
        <v>-153250000</v>
      </c>
      <c r="E35" s="223">
        <f>E1144*-1</f>
        <v>-192252000</v>
      </c>
      <c r="F35" s="223"/>
      <c r="G35" s="223"/>
      <c r="H35" s="224"/>
      <c r="I35" s="224"/>
      <c r="J35" s="224"/>
      <c r="K35" s="224"/>
      <c r="L35" s="225"/>
      <c r="M35" s="224"/>
      <c r="N35" s="224"/>
      <c r="O35" s="224"/>
      <c r="P35" s="226"/>
      <c r="Q35" s="227"/>
      <c r="R35" s="220"/>
    </row>
    <row r="36" spans="1:18" s="148" customFormat="1" ht="16.350000000000001" customHeight="1">
      <c r="A36" s="143"/>
      <c r="B36" s="228" t="s">
        <v>243</v>
      </c>
      <c r="C36" s="168"/>
      <c r="D36" s="168">
        <f>D32+D33+D34+D31+D35</f>
        <v>-51604318000</v>
      </c>
      <c r="E36" s="168">
        <f>E32+E33+E34+E31+E35</f>
        <v>-73530872000</v>
      </c>
      <c r="F36" s="168">
        <f t="shared" ref="F36:K36" si="13">F32+F33+F34+F31</f>
        <v>-49811520000</v>
      </c>
      <c r="G36" s="168">
        <f t="shared" si="13"/>
        <v>-54011286000</v>
      </c>
      <c r="H36" s="229">
        <f t="shared" si="13"/>
        <v>-55730384000</v>
      </c>
      <c r="I36" s="229">
        <f t="shared" si="13"/>
        <v>-50073969000</v>
      </c>
      <c r="J36" s="229">
        <f t="shared" si="13"/>
        <v>-47703759000</v>
      </c>
      <c r="K36" s="229">
        <f t="shared" si="13"/>
        <v>-50024994000</v>
      </c>
      <c r="L36" s="229"/>
      <c r="M36" s="229"/>
      <c r="N36" s="229"/>
      <c r="O36" s="229"/>
      <c r="P36" s="230"/>
      <c r="Q36" s="231"/>
      <c r="R36" s="170"/>
    </row>
    <row r="37" spans="1:18" s="148" customFormat="1" ht="16.350000000000001" customHeight="1">
      <c r="A37" s="143"/>
      <c r="B37" s="232" t="s">
        <v>244</v>
      </c>
      <c r="C37" s="233"/>
      <c r="D37" s="233">
        <f t="shared" ref="D37:K37" si="14">D30+D36</f>
        <v>13133000000</v>
      </c>
      <c r="E37" s="233">
        <f t="shared" si="14"/>
        <v>-12522578000</v>
      </c>
      <c r="F37" s="233">
        <f t="shared" si="14"/>
        <v>13230457000</v>
      </c>
      <c r="G37" s="233">
        <f t="shared" si="14"/>
        <v>18770005000</v>
      </c>
      <c r="H37" s="233">
        <f t="shared" si="14"/>
        <v>4981106000</v>
      </c>
      <c r="I37" s="233">
        <f t="shared" si="14"/>
        <v>-5449528000</v>
      </c>
      <c r="J37" s="233">
        <f t="shared" si="14"/>
        <v>-11033457000</v>
      </c>
      <c r="K37" s="233">
        <f t="shared" si="14"/>
        <v>-21448638000</v>
      </c>
      <c r="L37" s="233"/>
      <c r="M37" s="233"/>
      <c r="N37" s="233"/>
      <c r="O37" s="233"/>
      <c r="P37" s="233"/>
      <c r="Q37" s="146"/>
      <c r="R37" s="170"/>
    </row>
    <row r="38" spans="1:18" s="240" customFormat="1" ht="16.350000000000001" customHeight="1">
      <c r="A38" s="234"/>
      <c r="B38" s="235"/>
      <c r="C38" s="210"/>
      <c r="D38" s="236"/>
      <c r="E38" s="236"/>
      <c r="F38" s="236"/>
      <c r="G38" s="236"/>
      <c r="H38" s="236"/>
      <c r="I38" s="236"/>
      <c r="J38" s="236"/>
      <c r="K38" s="236"/>
      <c r="L38" s="237"/>
      <c r="M38" s="237"/>
      <c r="N38" s="237"/>
      <c r="O38" s="237"/>
      <c r="P38" s="237"/>
      <c r="Q38" s="238"/>
      <c r="R38" s="239"/>
    </row>
    <row r="39" spans="1:18" s="246" customFormat="1" ht="16.350000000000001" customHeight="1">
      <c r="A39" s="241"/>
      <c r="B39" s="242" t="s">
        <v>245</v>
      </c>
      <c r="C39" s="243"/>
      <c r="D39" s="243">
        <f>(D36*-1)/D3</f>
        <v>4.1716793162337347E-2</v>
      </c>
      <c r="E39" s="243">
        <f>(E36*-1)/E3</f>
        <v>6.4313780493678904E-2</v>
      </c>
      <c r="F39" s="243">
        <f t="shared" ref="F39:K39" si="15">(F36*-1)/F3</f>
        <v>4.6344421786891209E-2</v>
      </c>
      <c r="G39" s="243">
        <f t="shared" si="15"/>
        <v>5.6817303055382344E-2</v>
      </c>
      <c r="H39" s="243">
        <f t="shared" si="15"/>
        <v>7.2990693985078611E-2</v>
      </c>
      <c r="I39" s="243">
        <f t="shared" si="15"/>
        <v>8.6379871079765275E-2</v>
      </c>
      <c r="J39" s="243">
        <f t="shared" si="15"/>
        <v>0.10632469837307747</v>
      </c>
      <c r="K39" s="243">
        <f t="shared" si="15"/>
        <v>0.14901698421169554</v>
      </c>
      <c r="L39" s="243"/>
      <c r="M39" s="243"/>
      <c r="N39" s="243"/>
      <c r="O39" s="243"/>
      <c r="P39" s="243"/>
      <c r="Q39" s="244"/>
      <c r="R39" s="245"/>
    </row>
    <row r="40" spans="1:18" s="246" customFormat="1" ht="16.350000000000001" customHeight="1">
      <c r="A40" s="241"/>
      <c r="B40" s="247"/>
      <c r="C40" s="248"/>
      <c r="D40" s="249"/>
      <c r="E40" s="249"/>
      <c r="F40" s="249"/>
      <c r="G40" s="249"/>
      <c r="H40" s="249"/>
      <c r="I40" s="249"/>
      <c r="J40" s="249"/>
      <c r="K40" s="249"/>
      <c r="L40" s="248"/>
      <c r="M40" s="248"/>
      <c r="N40" s="248"/>
      <c r="O40" s="248"/>
      <c r="P40" s="248"/>
      <c r="Q40" s="250"/>
      <c r="R40" s="245"/>
    </row>
    <row r="41" spans="1:18" s="256" customFormat="1" ht="16.350000000000001" customHeight="1">
      <c r="A41" s="251"/>
      <c r="B41" s="252" t="s">
        <v>246</v>
      </c>
      <c r="C41" s="253"/>
      <c r="D41" s="253">
        <f t="shared" ref="D41:N41" si="16">D1573/D147</f>
        <v>332.29392347889006</v>
      </c>
      <c r="E41" s="253">
        <f t="shared" si="16"/>
        <v>348.72435951813219</v>
      </c>
      <c r="F41" s="253">
        <f t="shared" si="16"/>
        <v>575.38297753876304</v>
      </c>
      <c r="G41" s="253">
        <f t="shared" si="16"/>
        <v>624.5807285650676</v>
      </c>
      <c r="H41" s="253">
        <f t="shared" si="16"/>
        <v>504.28469431302034</v>
      </c>
      <c r="I41" s="253">
        <f t="shared" si="16"/>
        <v>376.69061531531565</v>
      </c>
      <c r="J41" s="253">
        <f t="shared" si="16"/>
        <v>265.61888839262087</v>
      </c>
      <c r="K41" s="253">
        <f t="shared" si="16"/>
        <v>130.11483390863</v>
      </c>
      <c r="L41" s="253">
        <f t="shared" si="16"/>
        <v>113.89826002165798</v>
      </c>
      <c r="M41" s="253">
        <f t="shared" si="16"/>
        <v>98.103487928579725</v>
      </c>
      <c r="N41" s="253">
        <f t="shared" si="16"/>
        <v>56.107188050404069</v>
      </c>
      <c r="O41" s="253"/>
      <c r="P41" s="253"/>
      <c r="Q41" s="254"/>
      <c r="R41" s="255"/>
    </row>
    <row r="42" spans="1:18" s="256" customFormat="1" ht="16.350000000000001" customHeight="1">
      <c r="A42" s="251"/>
      <c r="B42" s="252" t="s">
        <v>247</v>
      </c>
      <c r="C42" s="253"/>
      <c r="D42" s="253">
        <f t="shared" ref="D42:M42" si="17">D133/D147</f>
        <v>135.49984577282873</v>
      </c>
      <c r="E42" s="253">
        <f t="shared" si="17"/>
        <v>286.75097648431819</v>
      </c>
      <c r="F42" s="253">
        <f t="shared" si="17"/>
        <v>306.66929546356437</v>
      </c>
      <c r="G42" s="253">
        <f t="shared" si="17"/>
        <v>373.03955846719839</v>
      </c>
      <c r="H42" s="253">
        <f t="shared" si="17"/>
        <v>167.44981229435641</v>
      </c>
      <c r="I42" s="253">
        <f t="shared" si="17"/>
        <v>101.07984504579065</v>
      </c>
      <c r="J42" s="253">
        <f t="shared" si="17"/>
        <v>44.58994294297073</v>
      </c>
      <c r="K42" s="253">
        <f t="shared" si="17"/>
        <v>10.575988685018315</v>
      </c>
      <c r="L42" s="253">
        <f t="shared" si="17"/>
        <v>10.06</v>
      </c>
      <c r="M42" s="253">
        <f t="shared" si="17"/>
        <v>5.8194726651137456</v>
      </c>
      <c r="N42" s="253"/>
      <c r="O42" s="253"/>
      <c r="P42" s="253"/>
      <c r="Q42" s="254"/>
      <c r="R42" s="255"/>
    </row>
    <row r="43" spans="1:18" s="256" customFormat="1" ht="16.350000000000001" customHeight="1">
      <c r="A43" s="251"/>
      <c r="B43" s="257" t="s">
        <v>248</v>
      </c>
      <c r="C43" s="253"/>
      <c r="D43" s="253">
        <f t="shared" ref="D43:K43" si="18">D37/D147</f>
        <v>128.86689613733427</v>
      </c>
      <c r="E43" s="253">
        <f t="shared" si="18"/>
        <v>-122.87716123487908</v>
      </c>
      <c r="F43" s="253">
        <f t="shared" si="18"/>
        <v>139.91399552174352</v>
      </c>
      <c r="G43" s="253">
        <f t="shared" si="18"/>
        <v>198.4955164823939</v>
      </c>
      <c r="H43" s="253">
        <f t="shared" si="18"/>
        <v>52.675916075864187</v>
      </c>
      <c r="I43" s="253">
        <f t="shared" si="18"/>
        <v>-57.629546446325776</v>
      </c>
      <c r="J43" s="253">
        <f t="shared" si="18"/>
        <v>-116.68040289820297</v>
      </c>
      <c r="K43" s="253">
        <f t="shared" si="18"/>
        <v>-226.82244771132986</v>
      </c>
      <c r="L43" s="253"/>
      <c r="M43" s="253"/>
      <c r="N43" s="253"/>
      <c r="O43" s="253"/>
      <c r="P43" s="253"/>
      <c r="Q43" s="254"/>
      <c r="R43" s="255"/>
    </row>
    <row r="44" spans="1:18" s="256" customFormat="1" ht="16.350000000000001" customHeight="1">
      <c r="A44" s="251"/>
      <c r="B44" s="252" t="s">
        <v>249</v>
      </c>
      <c r="C44" s="253"/>
      <c r="D44" s="253">
        <f t="shared" ref="D44:K44" si="19">D1477/D147</f>
        <v>2485.5317349082447</v>
      </c>
      <c r="E44" s="253">
        <f t="shared" si="19"/>
        <v>2544.4410880416613</v>
      </c>
      <c r="F44" s="253">
        <f t="shared" si="19"/>
        <v>2073.5422837373681</v>
      </c>
      <c r="G44" s="253">
        <f t="shared" si="19"/>
        <v>1746.3856773202965</v>
      </c>
      <c r="H44" s="253">
        <f t="shared" si="19"/>
        <v>1519.1366494272422</v>
      </c>
      <c r="I44" s="253">
        <f t="shared" si="19"/>
        <v>1334.1828170715194</v>
      </c>
      <c r="J44" s="253">
        <f t="shared" si="19"/>
        <v>1049.4320222039964</v>
      </c>
      <c r="K44" s="253">
        <f t="shared" si="19"/>
        <v>831.03972019013474</v>
      </c>
      <c r="L44" s="253"/>
      <c r="M44" s="253"/>
      <c r="N44" s="253"/>
      <c r="O44" s="253"/>
      <c r="P44" s="253"/>
      <c r="Q44" s="254"/>
      <c r="R44" s="255"/>
    </row>
    <row r="45" spans="1:18" s="256" customFormat="1" ht="16.350000000000001" customHeight="1">
      <c r="A45" s="251"/>
      <c r="B45" s="252" t="s">
        <v>250</v>
      </c>
      <c r="C45" s="253"/>
      <c r="D45" s="253">
        <f>D147</f>
        <v>101911355</v>
      </c>
      <c r="E45" s="253">
        <f>E147</f>
        <v>101911355</v>
      </c>
      <c r="F45" s="253">
        <f t="shared" ref="F45:P45" si="20">F147</f>
        <v>94561355</v>
      </c>
      <c r="G45" s="253">
        <f t="shared" si="20"/>
        <v>94561355</v>
      </c>
      <c r="H45" s="253">
        <f t="shared" si="20"/>
        <v>94561355</v>
      </c>
      <c r="I45" s="253">
        <f t="shared" si="20"/>
        <v>94561355</v>
      </c>
      <c r="J45" s="253">
        <f t="shared" si="20"/>
        <v>94561355</v>
      </c>
      <c r="K45" s="253">
        <f t="shared" si="20"/>
        <v>94561355</v>
      </c>
      <c r="L45" s="253">
        <f t="shared" si="20"/>
        <v>88975073</v>
      </c>
      <c r="M45" s="253">
        <f t="shared" si="20"/>
        <v>88975073</v>
      </c>
      <c r="N45" s="253">
        <f t="shared" si="20"/>
        <v>83245660</v>
      </c>
      <c r="O45" s="253">
        <f t="shared" si="20"/>
        <v>72000000</v>
      </c>
      <c r="P45" s="253">
        <f t="shared" si="20"/>
        <v>72000000</v>
      </c>
      <c r="Q45" s="254"/>
      <c r="R45" s="255"/>
    </row>
    <row r="46" spans="1:18" s="256" customFormat="1" ht="16.350000000000001" customHeight="1">
      <c r="A46" s="251"/>
      <c r="B46" s="252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4"/>
      <c r="R46" s="255"/>
    </row>
    <row r="47" spans="1:18" s="205" customFormat="1" ht="16.350000000000001" customHeight="1">
      <c r="A47" s="200"/>
      <c r="B47" s="258" t="s">
        <v>251</v>
      </c>
      <c r="C47" s="202"/>
      <c r="D47" s="202">
        <f t="shared" ref="D47:K47" si="21">D106</f>
        <v>0.11072337193321916</v>
      </c>
      <c r="E47" s="202">
        <f t="shared" si="21"/>
        <v>0.13437723935265108</v>
      </c>
      <c r="F47" s="202">
        <f t="shared" si="21"/>
        <v>0.22510057335900394</v>
      </c>
      <c r="G47" s="202">
        <f t="shared" si="21"/>
        <v>0.29389814671741821</v>
      </c>
      <c r="H47" s="202">
        <f t="shared" si="21"/>
        <v>0.26308896884812205</v>
      </c>
      <c r="I47" s="202">
        <f t="shared" si="21"/>
        <v>0.23024429046128023</v>
      </c>
      <c r="J47" s="202">
        <f t="shared" si="21"/>
        <v>0.21247057601599947</v>
      </c>
      <c r="K47" s="202">
        <f t="shared" si="21"/>
        <v>0.15285802873586682</v>
      </c>
      <c r="L47" s="202"/>
      <c r="M47" s="202"/>
      <c r="N47" s="202"/>
      <c r="O47" s="202"/>
      <c r="P47" s="202"/>
      <c r="Q47" s="259"/>
      <c r="R47" s="204"/>
    </row>
    <row r="48" spans="1:18" s="246" customFormat="1" ht="16.350000000000001" customHeight="1">
      <c r="A48" s="241"/>
      <c r="B48" s="247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50"/>
      <c r="R48" s="245"/>
    </row>
    <row r="49" spans="1:18" s="266" customFormat="1" ht="14.1" customHeight="1">
      <c r="A49" s="260"/>
      <c r="B49" s="261" t="s">
        <v>252</v>
      </c>
      <c r="C49" s="262"/>
      <c r="D49" s="262">
        <f t="shared" ref="D49:K49" si="22">D50*(1+D51)</f>
        <v>41995136756.668083</v>
      </c>
      <c r="E49" s="262">
        <f t="shared" si="22"/>
        <v>45322322191.019722</v>
      </c>
      <c r="F49" s="262">
        <f t="shared" si="22"/>
        <v>63939984437.049355</v>
      </c>
      <c r="G49" s="262">
        <f t="shared" si="22"/>
        <v>70918341530.830811</v>
      </c>
      <c r="H49" s="262">
        <f t="shared" si="22"/>
        <v>54672407329.69442</v>
      </c>
      <c r="I49" s="262">
        <f t="shared" si="22"/>
        <v>39617182654.164993</v>
      </c>
      <c r="J49" s="262">
        <f t="shared" si="22"/>
        <v>27979032592.91111</v>
      </c>
      <c r="K49" s="262">
        <f t="shared" si="22"/>
        <v>14612883886.099607</v>
      </c>
      <c r="L49" s="263"/>
      <c r="M49" s="263"/>
      <c r="N49" s="263"/>
      <c r="O49" s="263"/>
      <c r="P49" s="263"/>
      <c r="Q49" s="264"/>
      <c r="R49" s="265"/>
    </row>
    <row r="50" spans="1:18" s="270" customFormat="1" ht="14.1" customHeight="1">
      <c r="A50" s="241"/>
      <c r="B50" s="267" t="s">
        <v>253</v>
      </c>
      <c r="C50" s="268"/>
      <c r="D50" s="268">
        <f>D1524</f>
        <v>53413251000</v>
      </c>
      <c r="E50" s="268">
        <f>E1524</f>
        <v>57928258000</v>
      </c>
      <c r="F50" s="268">
        <f t="shared" ref="F50:K50" si="23">F1524</f>
        <v>80828359000</v>
      </c>
      <c r="G50" s="268">
        <f t="shared" si="23"/>
        <v>85489225000</v>
      </c>
      <c r="H50" s="268">
        <f t="shared" si="23"/>
        <v>71114185000</v>
      </c>
      <c r="I50" s="268">
        <f t="shared" si="23"/>
        <v>50887910000</v>
      </c>
      <c r="J50" s="268">
        <f t="shared" si="23"/>
        <v>35994721000</v>
      </c>
      <c r="K50" s="268">
        <f t="shared" si="23"/>
        <v>19585033000</v>
      </c>
      <c r="L50" s="268"/>
      <c r="M50" s="268"/>
      <c r="N50" s="268"/>
      <c r="O50" s="268"/>
      <c r="P50" s="268"/>
      <c r="Q50" s="269"/>
      <c r="R50" s="245"/>
    </row>
    <row r="51" spans="1:18" s="276" customFormat="1" ht="16.350000000000001" customHeight="1">
      <c r="A51" s="241"/>
      <c r="B51" s="271" t="s">
        <v>254</v>
      </c>
      <c r="C51" s="272"/>
      <c r="D51" s="273">
        <f t="shared" ref="D51:K51" si="24">D1564/D1551</f>
        <v>-0.21376931809172062</v>
      </c>
      <c r="E51" s="273">
        <f t="shared" si="24"/>
        <v>-0.21761289298532466</v>
      </c>
      <c r="F51" s="273">
        <f t="shared" si="24"/>
        <v>-0.20894120296257215</v>
      </c>
      <c r="G51" s="273">
        <f t="shared" si="24"/>
        <v>-0.17044116927214154</v>
      </c>
      <c r="H51" s="273">
        <f t="shared" si="24"/>
        <v>-0.23120250439916568</v>
      </c>
      <c r="I51" s="273">
        <f t="shared" si="24"/>
        <v>-0.22148143529248898</v>
      </c>
      <c r="J51" s="273">
        <f t="shared" si="24"/>
        <v>-0.22269066641991439</v>
      </c>
      <c r="K51" s="273">
        <f t="shared" si="24"/>
        <v>-0.25387494184464188</v>
      </c>
      <c r="L51" s="274"/>
      <c r="M51" s="274"/>
      <c r="N51" s="274"/>
      <c r="O51" s="274"/>
      <c r="P51" s="274"/>
      <c r="Q51" s="275"/>
      <c r="R51" s="245"/>
    </row>
    <row r="52" spans="1:18" s="280" customFormat="1" ht="14.1" customHeight="1">
      <c r="A52" s="241"/>
      <c r="B52" s="277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9"/>
      <c r="R52" s="245"/>
    </row>
    <row r="53" spans="1:18" s="266" customFormat="1" ht="14.1" customHeight="1">
      <c r="A53" s="260"/>
      <c r="B53" s="261" t="s">
        <v>255</v>
      </c>
      <c r="C53" s="262"/>
      <c r="D53" s="262">
        <f t="shared" ref="D53:K53" si="25">D54+D55</f>
        <v>391129494000</v>
      </c>
      <c r="E53" s="262">
        <f t="shared" si="25"/>
        <v>367430077000</v>
      </c>
      <c r="F53" s="262">
        <f t="shared" si="25"/>
        <v>307123477000</v>
      </c>
      <c r="G53" s="262">
        <f t="shared" si="25"/>
        <v>260978003000</v>
      </c>
      <c r="H53" s="262">
        <f t="shared" si="25"/>
        <v>221626888000</v>
      </c>
      <c r="I53" s="262">
        <f t="shared" si="25"/>
        <v>193992266000</v>
      </c>
      <c r="J53" s="262">
        <f t="shared" si="25"/>
        <v>150139461000</v>
      </c>
      <c r="K53" s="262">
        <f t="shared" si="25"/>
        <v>113229078000</v>
      </c>
      <c r="L53" s="262"/>
      <c r="M53" s="263"/>
      <c r="N53" s="263"/>
      <c r="O53" s="263"/>
      <c r="P53" s="263"/>
      <c r="Q53" s="264"/>
      <c r="R53" s="265"/>
    </row>
    <row r="54" spans="1:18" s="270" customFormat="1" ht="14.1" customHeight="1">
      <c r="A54" s="241"/>
      <c r="B54" s="267" t="s">
        <v>81</v>
      </c>
      <c r="C54" s="268"/>
      <c r="D54" s="268">
        <f>D1477</f>
        <v>253303907000</v>
      </c>
      <c r="E54" s="268">
        <f>E1477</f>
        <v>259307439000</v>
      </c>
      <c r="F54" s="268">
        <f t="shared" ref="F54:K54" si="26">F1477</f>
        <v>196076968000</v>
      </c>
      <c r="G54" s="268">
        <f t="shared" si="26"/>
        <v>165140596000</v>
      </c>
      <c r="H54" s="268">
        <f t="shared" si="26"/>
        <v>143651620000</v>
      </c>
      <c r="I54" s="268">
        <f t="shared" si="26"/>
        <v>126162135000</v>
      </c>
      <c r="J54" s="268">
        <f t="shared" si="26"/>
        <v>99235714000</v>
      </c>
      <c r="K54" s="268">
        <f t="shared" si="26"/>
        <v>78584242000</v>
      </c>
      <c r="L54" s="268"/>
      <c r="M54" s="268"/>
      <c r="N54" s="268"/>
      <c r="O54" s="268"/>
      <c r="P54" s="268"/>
      <c r="Q54" s="269"/>
      <c r="R54" s="245"/>
    </row>
    <row r="55" spans="1:18" s="270" customFormat="1" ht="14.1" customHeight="1">
      <c r="A55" s="241"/>
      <c r="B55" s="267" t="s">
        <v>256</v>
      </c>
      <c r="C55" s="268"/>
      <c r="D55" s="268">
        <f t="shared" ref="D55:K55" si="27">D57-D56</f>
        <v>137825587000</v>
      </c>
      <c r="E55" s="268">
        <f t="shared" si="27"/>
        <v>108122638000</v>
      </c>
      <c r="F55" s="268">
        <f t="shared" si="27"/>
        <v>111046509000</v>
      </c>
      <c r="G55" s="268">
        <f t="shared" si="27"/>
        <v>95837407000</v>
      </c>
      <c r="H55" s="268">
        <f t="shared" si="27"/>
        <v>77975268000</v>
      </c>
      <c r="I55" s="268">
        <f t="shared" si="27"/>
        <v>67830131000</v>
      </c>
      <c r="J55" s="268">
        <f t="shared" si="27"/>
        <v>50903747000</v>
      </c>
      <c r="K55" s="268">
        <f t="shared" si="27"/>
        <v>34644836000</v>
      </c>
      <c r="L55" s="268"/>
      <c r="M55" s="268"/>
      <c r="N55" s="268"/>
      <c r="O55" s="268"/>
      <c r="P55" s="268"/>
      <c r="Q55" s="269"/>
      <c r="R55" s="245"/>
    </row>
    <row r="56" spans="1:18" s="270" customFormat="1" ht="14.1" customHeight="1">
      <c r="A56" s="241"/>
      <c r="B56" s="281" t="s">
        <v>257</v>
      </c>
      <c r="C56" s="268"/>
      <c r="D56" s="268">
        <f t="shared" ref="D56:K56" si="28">D1351</f>
        <v>26747754000</v>
      </c>
      <c r="E56" s="268">
        <f t="shared" si="28"/>
        <v>18337417000</v>
      </c>
      <c r="F56" s="268">
        <f t="shared" si="28"/>
        <v>16559271000</v>
      </c>
      <c r="G56" s="268">
        <f t="shared" si="28"/>
        <v>8390900000</v>
      </c>
      <c r="H56" s="268">
        <f t="shared" si="28"/>
        <v>17691541000</v>
      </c>
      <c r="I56" s="268">
        <f t="shared" si="28"/>
        <v>5931130000</v>
      </c>
      <c r="J56" s="268">
        <f t="shared" si="28"/>
        <v>12452609000</v>
      </c>
      <c r="K56" s="268">
        <f t="shared" si="28"/>
        <v>17205341000</v>
      </c>
      <c r="L56" s="268"/>
      <c r="M56" s="268"/>
      <c r="N56" s="268"/>
      <c r="O56" s="268"/>
      <c r="P56" s="268"/>
      <c r="Q56" s="269"/>
      <c r="R56" s="245"/>
    </row>
    <row r="57" spans="1:18" s="270" customFormat="1" ht="14.1" customHeight="1">
      <c r="A57" s="241"/>
      <c r="B57" s="281" t="s">
        <v>258</v>
      </c>
      <c r="C57" s="268"/>
      <c r="D57" s="268">
        <f>D58+D59</f>
        <v>164573341000</v>
      </c>
      <c r="E57" s="268">
        <f>E58+E59</f>
        <v>126460055000</v>
      </c>
      <c r="F57" s="268">
        <f t="shared" ref="F57:K57" si="29">F58+F59</f>
        <v>127605780000</v>
      </c>
      <c r="G57" s="268">
        <f t="shared" si="29"/>
        <v>104228307000</v>
      </c>
      <c r="H57" s="268">
        <f t="shared" si="29"/>
        <v>95666809000</v>
      </c>
      <c r="I57" s="268">
        <f t="shared" si="29"/>
        <v>73761261000</v>
      </c>
      <c r="J57" s="268">
        <f t="shared" si="29"/>
        <v>63356356000</v>
      </c>
      <c r="K57" s="268">
        <f t="shared" si="29"/>
        <v>51850177000</v>
      </c>
      <c r="L57" s="268"/>
      <c r="M57" s="268"/>
      <c r="N57" s="268"/>
      <c r="O57" s="268"/>
      <c r="P57" s="268"/>
      <c r="Q57" s="269"/>
      <c r="R57" s="245"/>
    </row>
    <row r="58" spans="1:18" s="270" customFormat="1" ht="14.1" customHeight="1">
      <c r="A58" s="241"/>
      <c r="B58" s="282" t="s">
        <v>259</v>
      </c>
      <c r="C58" s="268"/>
      <c r="D58" s="268">
        <f t="shared" ref="D58:K58" si="30">D1437</f>
        <v>70837201000</v>
      </c>
      <c r="E58" s="268">
        <f t="shared" si="30"/>
        <v>40121925000</v>
      </c>
      <c r="F58" s="268">
        <f t="shared" si="30"/>
        <v>50105880000</v>
      </c>
      <c r="G58" s="268">
        <f t="shared" si="30"/>
        <v>44817119000</v>
      </c>
      <c r="H58" s="268">
        <f t="shared" si="30"/>
        <v>51256674000</v>
      </c>
      <c r="I58" s="268">
        <f t="shared" si="30"/>
        <v>36319761000</v>
      </c>
      <c r="J58" s="268">
        <f t="shared" si="30"/>
        <v>25109636000</v>
      </c>
      <c r="K58" s="268">
        <f t="shared" si="30"/>
        <v>6000191000</v>
      </c>
      <c r="L58" s="268"/>
      <c r="M58" s="268"/>
      <c r="N58" s="268"/>
      <c r="O58" s="268"/>
      <c r="P58" s="268"/>
      <c r="Q58" s="269"/>
      <c r="R58" s="245"/>
    </row>
    <row r="59" spans="1:18" s="270" customFormat="1" ht="14.1" customHeight="1">
      <c r="A59" s="241"/>
      <c r="B59" s="282" t="s">
        <v>260</v>
      </c>
      <c r="C59" s="268"/>
      <c r="D59" s="268">
        <f t="shared" ref="D59:K59" si="31">D1364</f>
        <v>93736140000</v>
      </c>
      <c r="E59" s="268">
        <f t="shared" si="31"/>
        <v>86338130000</v>
      </c>
      <c r="F59" s="268">
        <f t="shared" si="31"/>
        <v>77499900000</v>
      </c>
      <c r="G59" s="268">
        <f t="shared" si="31"/>
        <v>59411188000</v>
      </c>
      <c r="H59" s="268">
        <f t="shared" si="31"/>
        <v>44410135000</v>
      </c>
      <c r="I59" s="268">
        <f t="shared" si="31"/>
        <v>37441500000</v>
      </c>
      <c r="J59" s="268">
        <f t="shared" si="31"/>
        <v>38246720000</v>
      </c>
      <c r="K59" s="268">
        <f t="shared" si="31"/>
        <v>45849986000</v>
      </c>
      <c r="L59" s="268"/>
      <c r="M59" s="268"/>
      <c r="N59" s="268"/>
      <c r="O59" s="268"/>
      <c r="P59" s="268"/>
      <c r="Q59" s="269"/>
      <c r="R59" s="245"/>
    </row>
    <row r="60" spans="1:18" s="270" customFormat="1" ht="14.1" customHeight="1">
      <c r="A60" s="283"/>
      <c r="B60" s="282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9"/>
      <c r="R60" s="284"/>
    </row>
    <row r="61" spans="1:18" s="290" customFormat="1" ht="14.1" customHeight="1">
      <c r="A61" s="285"/>
      <c r="B61" s="286"/>
      <c r="C61" s="287"/>
      <c r="D61" s="287"/>
      <c r="E61" s="287"/>
      <c r="F61" s="287"/>
      <c r="G61" s="287"/>
      <c r="H61" s="287"/>
      <c r="I61" s="287"/>
      <c r="J61" s="287"/>
      <c r="K61" s="287"/>
      <c r="L61" s="288"/>
      <c r="M61" s="288"/>
      <c r="N61" s="288"/>
      <c r="O61" s="288"/>
      <c r="P61" s="288"/>
      <c r="Q61" s="288"/>
      <c r="R61" s="289"/>
    </row>
    <row r="62" spans="1:18" s="142" customFormat="1" ht="16.350000000000001" customHeight="1">
      <c r="A62" s="1572" t="s">
        <v>261</v>
      </c>
      <c r="B62" s="1573"/>
      <c r="C62" s="291"/>
      <c r="D62" s="291"/>
      <c r="E62" s="291"/>
      <c r="F62" s="291"/>
      <c r="G62" s="291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3"/>
    </row>
    <row r="63" spans="1:18" s="301" customFormat="1" ht="16.350000000000001" customHeight="1" outlineLevel="1">
      <c r="A63" s="294"/>
      <c r="B63" s="295" t="s">
        <v>262</v>
      </c>
      <c r="C63" s="296"/>
      <c r="D63" s="297">
        <f>D3/D3</f>
        <v>1</v>
      </c>
      <c r="E63" s="297">
        <f>E3/E3</f>
        <v>1</v>
      </c>
      <c r="F63" s="297">
        <f t="shared" ref="F63:K63" si="32">F3/F3</f>
        <v>1</v>
      </c>
      <c r="G63" s="297">
        <f t="shared" si="32"/>
        <v>1</v>
      </c>
      <c r="H63" s="298">
        <f t="shared" si="32"/>
        <v>1</v>
      </c>
      <c r="I63" s="298">
        <f t="shared" si="32"/>
        <v>1</v>
      </c>
      <c r="J63" s="298">
        <f t="shared" si="32"/>
        <v>1</v>
      </c>
      <c r="K63" s="298">
        <f t="shared" si="32"/>
        <v>1</v>
      </c>
      <c r="L63" s="299"/>
      <c r="M63" s="299"/>
      <c r="N63" s="299"/>
      <c r="O63" s="299"/>
      <c r="P63" s="299"/>
      <c r="Q63" s="299"/>
      <c r="R63" s="300"/>
    </row>
    <row r="64" spans="1:18" s="240" customFormat="1" ht="16.350000000000001" customHeight="1" outlineLevel="1">
      <c r="A64" s="294"/>
      <c r="B64" s="302" t="s">
        <v>263</v>
      </c>
      <c r="C64" s="303"/>
      <c r="D64" s="304">
        <f>(D1488+D1489)/D$1483</f>
        <v>-0.73269684373879251</v>
      </c>
      <c r="E64" s="304">
        <f t="shared" ref="E64:K64" si="33">(E1488+E1489)/E$1483</f>
        <v>-0.72053432056600386</v>
      </c>
      <c r="F64" s="304">
        <f t="shared" si="33"/>
        <v>-0.70085900379146837</v>
      </c>
      <c r="G64" s="304">
        <f t="shared" si="33"/>
        <v>-0.67493204829181985</v>
      </c>
      <c r="H64" s="304">
        <f t="shared" si="33"/>
        <v>-0.66814868711457598</v>
      </c>
      <c r="I64" s="304">
        <f t="shared" si="33"/>
        <v>-0.66951164895574033</v>
      </c>
      <c r="J64" s="304">
        <f t="shared" si="33"/>
        <v>-0.68796171637129599</v>
      </c>
      <c r="K64" s="304">
        <f t="shared" si="33"/>
        <v>-0.7085865538811863</v>
      </c>
      <c r="L64" s="305"/>
      <c r="M64" s="305"/>
      <c r="N64" s="305"/>
      <c r="O64" s="305"/>
      <c r="P64" s="305"/>
      <c r="Q64" s="305"/>
      <c r="R64" s="306"/>
    </row>
    <row r="65" spans="1:18" s="240" customFormat="1" ht="16.350000000000001" customHeight="1" outlineLevel="1">
      <c r="A65" s="294"/>
      <c r="B65" s="302" t="s">
        <v>264</v>
      </c>
      <c r="C65" s="303"/>
      <c r="D65" s="304">
        <f t="shared" ref="D65:K66" si="34">D1491/D$1483</f>
        <v>-2.7656058625951351E-2</v>
      </c>
      <c r="E65" s="304">
        <f t="shared" si="34"/>
        <v>-2.6256634105821488E-2</v>
      </c>
      <c r="F65" s="304">
        <f t="shared" si="34"/>
        <v>-2.3839746516159985E-2</v>
      </c>
      <c r="G65" s="304">
        <f t="shared" si="34"/>
        <v>-2.2896881598134869E-2</v>
      </c>
      <c r="H65" s="304">
        <f t="shared" si="34"/>
        <v>-2.7150330188869278E-2</v>
      </c>
      <c r="I65" s="304">
        <f t="shared" si="34"/>
        <v>-3.0346855918410045E-2</v>
      </c>
      <c r="J65" s="304">
        <f t="shared" si="34"/>
        <v>-3.1149277615040626E-2</v>
      </c>
      <c r="K65" s="304">
        <f t="shared" si="34"/>
        <v>-3.3718065891037714E-2</v>
      </c>
      <c r="L65" s="305"/>
      <c r="M65" s="305"/>
      <c r="N65" s="305"/>
      <c r="O65" s="305"/>
      <c r="P65" s="305"/>
      <c r="Q65" s="305"/>
      <c r="R65" s="306"/>
    </row>
    <row r="66" spans="1:18" s="240" customFormat="1" ht="16.350000000000001" customHeight="1" outlineLevel="1">
      <c r="A66" s="294"/>
      <c r="B66" s="302" t="s">
        <v>265</v>
      </c>
      <c r="C66" s="303"/>
      <c r="D66" s="307" t="s">
        <v>266</v>
      </c>
      <c r="E66" s="307" t="s">
        <v>266</v>
      </c>
      <c r="F66" s="307" t="s">
        <v>266</v>
      </c>
      <c r="G66" s="304">
        <f>G1492/G$1483</f>
        <v>-1.7187385639622459E-2</v>
      </c>
      <c r="H66" s="304">
        <f t="shared" si="34"/>
        <v>-1.5804031838276809E-2</v>
      </c>
      <c r="I66" s="304">
        <f t="shared" si="34"/>
        <v>-1.5039368641655072E-2</v>
      </c>
      <c r="J66" s="304">
        <f t="shared" si="34"/>
        <v>-1.553999127720285E-2</v>
      </c>
      <c r="K66" s="304">
        <f t="shared" si="34"/>
        <v>-1.4432152922370566E-2</v>
      </c>
      <c r="L66" s="305"/>
      <c r="M66" s="305"/>
      <c r="N66" s="305"/>
      <c r="O66" s="305"/>
      <c r="P66" s="305"/>
      <c r="Q66" s="305"/>
      <c r="R66" s="306"/>
    </row>
    <row r="67" spans="1:18" s="301" customFormat="1" ht="16.350000000000001" customHeight="1" outlineLevel="1">
      <c r="A67" s="294"/>
      <c r="B67" s="308" t="s">
        <v>267</v>
      </c>
      <c r="C67" s="309"/>
      <c r="D67" s="310">
        <f>D1487/D$1483</f>
        <v>-0.76035290236474384</v>
      </c>
      <c r="E67" s="310">
        <f t="shared" ref="E67:K67" si="35">E1487/E$1483</f>
        <v>-0.74679095467182532</v>
      </c>
      <c r="F67" s="310">
        <f t="shared" si="35"/>
        <v>-0.72482710304024145</v>
      </c>
      <c r="G67" s="310">
        <f t="shared" si="35"/>
        <v>-0.71510939753952707</v>
      </c>
      <c r="H67" s="310">
        <f t="shared" si="35"/>
        <v>-0.71118180468036518</v>
      </c>
      <c r="I67" s="310">
        <f t="shared" si="35"/>
        <v>-0.71491382846093099</v>
      </c>
      <c r="J67" s="310">
        <f t="shared" si="35"/>
        <v>-0.73465098526353945</v>
      </c>
      <c r="K67" s="310">
        <f t="shared" si="35"/>
        <v>-0.75673677269459461</v>
      </c>
      <c r="L67" s="311"/>
      <c r="M67" s="311"/>
      <c r="N67" s="311"/>
      <c r="O67" s="311"/>
      <c r="P67" s="311"/>
      <c r="Q67" s="311"/>
      <c r="R67" s="306"/>
    </row>
    <row r="68" spans="1:18" s="301" customFormat="1" ht="16.350000000000001" customHeight="1" outlineLevel="1">
      <c r="A68" s="294"/>
      <c r="B68" s="312" t="s">
        <v>268</v>
      </c>
      <c r="C68" s="313"/>
      <c r="D68" s="314">
        <f>D63+D67</f>
        <v>0.23964709763525616</v>
      </c>
      <c r="E68" s="314">
        <f t="shared" ref="E68:K68" si="36">E63+E67</f>
        <v>0.25320904532817468</v>
      </c>
      <c r="F68" s="314">
        <f t="shared" si="36"/>
        <v>0.27517289695975855</v>
      </c>
      <c r="G68" s="314">
        <f t="shared" si="36"/>
        <v>0.28489060246047293</v>
      </c>
      <c r="H68" s="314">
        <f t="shared" si="36"/>
        <v>0.28881819531963482</v>
      </c>
      <c r="I68" s="314">
        <f t="shared" si="36"/>
        <v>0.28508617153906901</v>
      </c>
      <c r="J68" s="314">
        <f t="shared" si="36"/>
        <v>0.26534901473646055</v>
      </c>
      <c r="K68" s="314">
        <f t="shared" si="36"/>
        <v>0.24326322730540539</v>
      </c>
      <c r="L68" s="315"/>
      <c r="M68" s="315"/>
      <c r="N68" s="315"/>
      <c r="O68" s="315"/>
      <c r="P68" s="315"/>
      <c r="Q68" s="315"/>
      <c r="R68" s="306"/>
    </row>
    <row r="69" spans="1:18" s="301" customFormat="1" ht="16.350000000000001" customHeight="1" outlineLevel="1">
      <c r="A69" s="294"/>
      <c r="B69" s="312"/>
      <c r="C69" s="316"/>
      <c r="D69" s="317"/>
      <c r="E69" s="317"/>
      <c r="F69" s="317"/>
      <c r="G69" s="317"/>
      <c r="H69" s="317"/>
      <c r="I69" s="317"/>
      <c r="J69" s="317"/>
      <c r="K69" s="317"/>
      <c r="L69" s="318"/>
      <c r="M69" s="318"/>
      <c r="N69" s="318"/>
      <c r="O69" s="318"/>
      <c r="P69" s="318"/>
      <c r="Q69" s="318"/>
      <c r="R69" s="306"/>
    </row>
    <row r="70" spans="1:18" s="240" customFormat="1" ht="16.350000000000001" customHeight="1" outlineLevel="1">
      <c r="A70" s="294"/>
      <c r="B70" s="302" t="s">
        <v>84</v>
      </c>
      <c r="C70" s="303"/>
      <c r="D70" s="304">
        <f>D1507/D$1483</f>
        <v>-6.7600084968057111E-2</v>
      </c>
      <c r="E70" s="304">
        <f t="shared" ref="E70:K71" si="37">E1507/E$1483</f>
        <v>-7.3240727689423274E-2</v>
      </c>
      <c r="F70" s="304">
        <f t="shared" si="37"/>
        <v>-7.8235486664669771E-2</v>
      </c>
      <c r="G70" s="304">
        <f t="shared" si="37"/>
        <v>-8.071361098599189E-2</v>
      </c>
      <c r="H70" s="304">
        <f t="shared" si="37"/>
        <v>-8.5069238628826316E-2</v>
      </c>
      <c r="I70" s="304">
        <f t="shared" si="37"/>
        <v>-8.7264691728862601E-2</v>
      </c>
      <c r="J70" s="304">
        <f t="shared" si="37"/>
        <v>-7.9408611212265778E-2</v>
      </c>
      <c r="K70" s="304">
        <f t="shared" si="37"/>
        <v>-7.9675475315606911E-2</v>
      </c>
      <c r="L70" s="305"/>
      <c r="M70" s="305"/>
      <c r="N70" s="305"/>
      <c r="O70" s="305"/>
      <c r="P70" s="305"/>
      <c r="Q70" s="305"/>
      <c r="R70" s="306"/>
    </row>
    <row r="71" spans="1:18" s="240" customFormat="1" ht="16.350000000000001" customHeight="1" outlineLevel="1">
      <c r="A71" s="294"/>
      <c r="B71" s="302" t="s">
        <v>269</v>
      </c>
      <c r="C71" s="303"/>
      <c r="D71" s="304">
        <f>D1508/D$1483</f>
        <v>-1.9572057780681395E-2</v>
      </c>
      <c r="E71" s="304">
        <f t="shared" si="37"/>
        <v>-2.1051835693437274E-2</v>
      </c>
      <c r="F71" s="304">
        <f t="shared" si="37"/>
        <v>-2.2450107565553767E-2</v>
      </c>
      <c r="G71" s="304">
        <f t="shared" si="37"/>
        <v>-2.3165721714638349E-2</v>
      </c>
      <c r="H71" s="304">
        <f t="shared" si="37"/>
        <v>-2.4249756575813748E-2</v>
      </c>
      <c r="I71" s="304">
        <f t="shared" si="37"/>
        <v>-2.4959778840896438E-2</v>
      </c>
      <c r="J71" s="304">
        <f t="shared" si="37"/>
        <v>-2.2735976856760313E-2</v>
      </c>
      <c r="K71" s="304">
        <f t="shared" si="37"/>
        <v>-2.5258228442566727E-2</v>
      </c>
      <c r="L71" s="305"/>
      <c r="M71" s="305"/>
      <c r="N71" s="305"/>
      <c r="O71" s="305"/>
      <c r="P71" s="305"/>
      <c r="Q71" s="305"/>
      <c r="R71" s="306"/>
    </row>
    <row r="72" spans="1:18" s="240" customFormat="1" ht="16.350000000000001" customHeight="1" outlineLevel="1">
      <c r="A72" s="294"/>
      <c r="B72" s="302" t="s">
        <v>172</v>
      </c>
      <c r="C72" s="303"/>
      <c r="D72" s="304">
        <f t="shared" ref="D72:K72" si="38">D1510/D$1483</f>
        <v>-4.1397223219984389E-2</v>
      </c>
      <c r="E72" s="304">
        <f t="shared" si="38"/>
        <v>-3.96417825243792E-2</v>
      </c>
      <c r="F72" s="304">
        <f t="shared" si="38"/>
        <v>-3.5793623409448388E-2</v>
      </c>
      <c r="G72" s="304">
        <f t="shared" si="38"/>
        <v>-3.1744757681371305E-2</v>
      </c>
      <c r="H72" s="304">
        <f t="shared" si="38"/>
        <v>-2.6945770365246896E-2</v>
      </c>
      <c r="I72" s="304">
        <f t="shared" si="38"/>
        <v>-2.5801676909756387E-2</v>
      </c>
      <c r="J72" s="304">
        <f t="shared" si="38"/>
        <v>-2.3158418179607523E-2</v>
      </c>
      <c r="K72" s="304">
        <f t="shared" si="38"/>
        <v>-2.0949747001599933E-2</v>
      </c>
      <c r="L72" s="305"/>
      <c r="M72" s="305"/>
      <c r="N72" s="305"/>
      <c r="O72" s="305"/>
      <c r="P72" s="305"/>
      <c r="Q72" s="305"/>
      <c r="R72" s="306"/>
    </row>
    <row r="73" spans="1:18" s="240" customFormat="1" ht="16.350000000000001" customHeight="1" outlineLevel="1">
      <c r="A73" s="294"/>
      <c r="B73" s="302" t="s">
        <v>173</v>
      </c>
      <c r="C73" s="303"/>
      <c r="D73" s="304">
        <f t="shared" ref="D73:K73" si="39">D1509/D$1483</f>
        <v>-1.7197455278038617E-2</v>
      </c>
      <c r="E73" s="304">
        <f t="shared" si="39"/>
        <v>-1.7135285722215666E-2</v>
      </c>
      <c r="F73" s="304">
        <f t="shared" si="39"/>
        <v>-1.6720013785784072E-2</v>
      </c>
      <c r="G73" s="304">
        <f t="shared" si="39"/>
        <v>-1.4544503507785841E-2</v>
      </c>
      <c r="H73" s="304">
        <f t="shared" si="39"/>
        <v>-1.4026658474791414E-2</v>
      </c>
      <c r="I73" s="304">
        <f t="shared" si="39"/>
        <v>-1.4096134504413771E-2</v>
      </c>
      <c r="J73" s="304">
        <f t="shared" si="39"/>
        <v>-1.3282666229294252E-2</v>
      </c>
      <c r="K73" s="304">
        <f t="shared" si="39"/>
        <v>-1.4028920808683234E-2</v>
      </c>
      <c r="L73" s="305"/>
      <c r="M73" s="305"/>
      <c r="N73" s="305"/>
      <c r="O73" s="305"/>
      <c r="P73" s="305"/>
      <c r="Q73" s="305"/>
      <c r="R73" s="306"/>
    </row>
    <row r="74" spans="1:18" s="240" customFormat="1" ht="16.350000000000001" customHeight="1" outlineLevel="1">
      <c r="A74" s="294"/>
      <c r="B74" s="302" t="s">
        <v>270</v>
      </c>
      <c r="C74" s="303"/>
      <c r="D74" s="304">
        <f>D1501/D$1483</f>
        <v>-1.2990901535679032E-2</v>
      </c>
      <c r="E74" s="304">
        <f t="shared" ref="E74:K74" si="40">E1501/E$1483</f>
        <v>-1.3670080540968957E-2</v>
      </c>
      <c r="F74" s="304">
        <f t="shared" si="40"/>
        <v>-1.2094677389372388E-2</v>
      </c>
      <c r="G74" s="304">
        <f t="shared" si="40"/>
        <v>-1.3313112198964564E-2</v>
      </c>
      <c r="H74" s="304">
        <f t="shared" si="40"/>
        <v>-1.1672200273998864E-2</v>
      </c>
      <c r="I74" s="304">
        <f t="shared" si="40"/>
        <v>-9.7227061932994817E-3</v>
      </c>
      <c r="J74" s="304">
        <f t="shared" si="40"/>
        <v>-1.0777664274890479E-2</v>
      </c>
      <c r="K74" s="304">
        <f t="shared" si="40"/>
        <v>-1.170525646996747E-2</v>
      </c>
      <c r="L74" s="305"/>
      <c r="M74" s="305"/>
      <c r="N74" s="305"/>
      <c r="O74" s="305"/>
      <c r="P74" s="305"/>
      <c r="Q74" s="305"/>
      <c r="R74" s="306"/>
    </row>
    <row r="75" spans="1:18" s="240" customFormat="1" ht="16.350000000000001" customHeight="1" outlineLevel="1">
      <c r="A75" s="294"/>
      <c r="B75" s="302" t="s">
        <v>36</v>
      </c>
      <c r="C75" s="303"/>
      <c r="D75" s="304">
        <f t="shared" ref="D75:K75" si="41">D76-D74-D73-D71-D72-D70</f>
        <v>-4.4018013430530648E-2</v>
      </c>
      <c r="E75" s="304">
        <f t="shared" si="41"/>
        <v>-4.3945733369816137E-2</v>
      </c>
      <c r="F75" s="304">
        <f t="shared" si="41"/>
        <v>-3.7604792997973299E-2</v>
      </c>
      <c r="G75" s="304">
        <f t="shared" si="41"/>
        <v>-3.4757006606942892E-2</v>
      </c>
      <c r="H75" s="304">
        <f t="shared" si="41"/>
        <v>-3.6744778822904389E-2</v>
      </c>
      <c r="I75" s="304">
        <f t="shared" si="41"/>
        <v>-3.8096189498861885E-2</v>
      </c>
      <c r="J75" s="304">
        <f t="shared" si="41"/>
        <v>-3.7964459087180949E-2</v>
      </c>
      <c r="K75" s="304">
        <f t="shared" si="41"/>
        <v>-3.6960455421457331E-2</v>
      </c>
      <c r="L75" s="305"/>
      <c r="M75" s="305"/>
      <c r="N75" s="305"/>
      <c r="O75" s="305"/>
      <c r="P75" s="305"/>
      <c r="Q75" s="305"/>
      <c r="R75" s="306"/>
    </row>
    <row r="76" spans="1:18" s="301" customFormat="1" ht="16.350000000000001" customHeight="1" outlineLevel="1">
      <c r="A76" s="294"/>
      <c r="B76" s="308" t="s">
        <v>271</v>
      </c>
      <c r="C76" s="316"/>
      <c r="D76" s="317">
        <f>D1520/D$1483</f>
        <v>-0.20277573621297118</v>
      </c>
      <c r="E76" s="317">
        <f t="shared" ref="E76:K76" si="42">E1520/E$1483</f>
        <v>-0.20868544554024052</v>
      </c>
      <c r="F76" s="317">
        <f t="shared" si="42"/>
        <v>-0.2028987018128017</v>
      </c>
      <c r="G76" s="317">
        <f t="shared" si="42"/>
        <v>-0.19823871269569482</v>
      </c>
      <c r="H76" s="317">
        <f t="shared" si="42"/>
        <v>-0.19870840314158164</v>
      </c>
      <c r="I76" s="317">
        <f t="shared" si="42"/>
        <v>-0.19994117767609057</v>
      </c>
      <c r="J76" s="317">
        <f t="shared" si="42"/>
        <v>-0.18732779583999931</v>
      </c>
      <c r="K76" s="317">
        <f t="shared" si="42"/>
        <v>-0.18857808345988161</v>
      </c>
      <c r="L76" s="318"/>
      <c r="M76" s="318"/>
      <c r="N76" s="318"/>
      <c r="O76" s="318"/>
      <c r="P76" s="318"/>
      <c r="Q76" s="318"/>
      <c r="R76" s="306"/>
    </row>
    <row r="77" spans="1:18" s="301" customFormat="1" ht="16.350000000000001" customHeight="1" outlineLevel="1">
      <c r="A77" s="294"/>
      <c r="B77" s="312" t="s">
        <v>272</v>
      </c>
      <c r="C77" s="313"/>
      <c r="D77" s="314">
        <f t="shared" ref="D77:K77" si="43">D68+D76</f>
        <v>3.6871361422284976E-2</v>
      </c>
      <c r="E77" s="314">
        <f t="shared" si="43"/>
        <v>4.4523599787934159E-2</v>
      </c>
      <c r="F77" s="314">
        <f t="shared" si="43"/>
        <v>7.2274195146956849E-2</v>
      </c>
      <c r="G77" s="314">
        <f t="shared" si="43"/>
        <v>8.6651889764778112E-2</v>
      </c>
      <c r="H77" s="314">
        <f t="shared" si="43"/>
        <v>9.0109792178053177E-2</v>
      </c>
      <c r="I77" s="314">
        <f t="shared" si="43"/>
        <v>8.5144993862978441E-2</v>
      </c>
      <c r="J77" s="314">
        <f t="shared" si="43"/>
        <v>7.8021218896461242E-2</v>
      </c>
      <c r="K77" s="314">
        <f t="shared" si="43"/>
        <v>5.4685143845523781E-2</v>
      </c>
      <c r="L77" s="315"/>
      <c r="M77" s="315"/>
      <c r="N77" s="315"/>
      <c r="O77" s="315"/>
      <c r="P77" s="315"/>
      <c r="Q77" s="315"/>
      <c r="R77" s="306"/>
    </row>
    <row r="78" spans="1:18" s="301" customFormat="1" ht="16.350000000000001" customHeight="1" outlineLevel="1">
      <c r="A78" s="294"/>
      <c r="B78" s="319"/>
      <c r="C78" s="316"/>
      <c r="D78" s="317"/>
      <c r="E78" s="317"/>
      <c r="F78" s="317"/>
      <c r="G78" s="317"/>
      <c r="H78" s="317"/>
      <c r="I78" s="317"/>
      <c r="J78" s="317"/>
      <c r="K78" s="317"/>
      <c r="L78" s="318"/>
      <c r="M78" s="318"/>
      <c r="N78" s="318"/>
      <c r="O78" s="318"/>
      <c r="P78" s="318"/>
      <c r="Q78" s="318"/>
      <c r="R78" s="306"/>
    </row>
    <row r="79" spans="1:18" s="240" customFormat="1" ht="16.350000000000001" customHeight="1" outlineLevel="1">
      <c r="A79" s="294"/>
      <c r="B79" s="302" t="s">
        <v>273</v>
      </c>
      <c r="C79" s="303"/>
      <c r="D79" s="304">
        <f>D1529/D1483</f>
        <v>-7.3857298615792478E-3</v>
      </c>
      <c r="E79" s="304">
        <f t="shared" ref="E79:K79" si="44">E1529/E1483</f>
        <v>-1.135197977322782E-2</v>
      </c>
      <c r="F79" s="304">
        <f t="shared" si="44"/>
        <v>-1.2368377461636404E-2</v>
      </c>
      <c r="G79" s="304">
        <f t="shared" si="44"/>
        <v>-1.2503462291002406E-2</v>
      </c>
      <c r="H79" s="304">
        <f t="shared" si="44"/>
        <v>-8.7042852532001041E-3</v>
      </c>
      <c r="I79" s="304">
        <f t="shared" si="44"/>
        <v>-8.5725097313262451E-3</v>
      </c>
      <c r="J79" s="304">
        <f t="shared" si="44"/>
        <v>-9.0389332972009399E-3</v>
      </c>
      <c r="K79" s="304">
        <f t="shared" si="44"/>
        <v>-1.0187016739761256E-2</v>
      </c>
      <c r="L79" s="305"/>
      <c r="M79" s="305"/>
      <c r="N79" s="305"/>
      <c r="O79" s="305"/>
      <c r="P79" s="305"/>
      <c r="Q79" s="305"/>
      <c r="R79" s="306"/>
    </row>
    <row r="80" spans="1:18" s="240" customFormat="1" ht="16.350000000000001" customHeight="1" outlineLevel="1">
      <c r="A80" s="294"/>
      <c r="B80" s="302" t="s">
        <v>274</v>
      </c>
      <c r="C80" s="303"/>
      <c r="D80" s="304">
        <f>D1536/D1483</f>
        <v>-7.3365938547039519E-4</v>
      </c>
      <c r="E80" s="304">
        <f t="shared" ref="E80:K80" si="45">E1536/E1483</f>
        <v>-6.4329461501012051E-4</v>
      </c>
      <c r="F80" s="304">
        <f t="shared" si="45"/>
        <v>-8.2702311553305087E-4</v>
      </c>
      <c r="G80" s="304">
        <f t="shared" si="45"/>
        <v>-8.8733449032951499E-4</v>
      </c>
      <c r="H80" s="304">
        <f t="shared" si="45"/>
        <v>-7.5778172748181092E-4</v>
      </c>
      <c r="I80" s="304">
        <f t="shared" si="45"/>
        <v>-6.4562240052905078E-4</v>
      </c>
      <c r="J80" s="304">
        <f t="shared" si="45"/>
        <v>-6.6320209640092131E-4</v>
      </c>
      <c r="K80" s="304">
        <f t="shared" si="45"/>
        <v>-5.6378620420940247E-4</v>
      </c>
      <c r="L80" s="305"/>
      <c r="M80" s="305"/>
      <c r="N80" s="305"/>
      <c r="O80" s="305"/>
      <c r="P80" s="305"/>
      <c r="Q80" s="305"/>
      <c r="R80" s="306"/>
    </row>
    <row r="81" spans="1:18" s="240" customFormat="1" ht="16.350000000000001" customHeight="1" outlineLevel="1">
      <c r="A81" s="294"/>
      <c r="B81" s="302" t="s">
        <v>275</v>
      </c>
      <c r="C81" s="303"/>
      <c r="D81" s="304">
        <f>D1538/D1483</f>
        <v>1.7001889411313962E-4</v>
      </c>
      <c r="E81" s="304">
        <f t="shared" ref="E81:K81" si="46">E1538/E1483</f>
        <v>2.9800551668899861E-4</v>
      </c>
      <c r="F81" s="304">
        <f t="shared" si="46"/>
        <v>9.8858259947585194E-5</v>
      </c>
      <c r="G81" s="304">
        <f t="shared" si="46"/>
        <v>2.373877910755504E-4</v>
      </c>
      <c r="H81" s="304">
        <f t="shared" si="46"/>
        <v>4.8785423051278331E-4</v>
      </c>
      <c r="I81" s="304">
        <f t="shared" si="46"/>
        <v>3.219107265532516E-4</v>
      </c>
      <c r="J81" s="304">
        <f t="shared" si="46"/>
        <v>5.7425300409411225E-4</v>
      </c>
      <c r="K81" s="304">
        <f t="shared" si="46"/>
        <v>8.5159977191417448E-4</v>
      </c>
      <c r="L81" s="305"/>
      <c r="M81" s="305"/>
      <c r="N81" s="305"/>
      <c r="O81" s="305"/>
      <c r="P81" s="305"/>
      <c r="Q81" s="305"/>
      <c r="R81" s="306"/>
    </row>
    <row r="82" spans="1:18" s="240" customFormat="1" ht="16.350000000000001" customHeight="1" outlineLevel="1">
      <c r="A82" s="294"/>
      <c r="B82" s="302" t="s">
        <v>276</v>
      </c>
      <c r="C82" s="303"/>
      <c r="D82" s="304">
        <f>D1540/D1483</f>
        <v>7.0414277774056948E-3</v>
      </c>
      <c r="E82" s="304">
        <f t="shared" ref="E82:K82" si="47">E1540/E1483</f>
        <v>6.7866485072406654E-3</v>
      </c>
      <c r="F82" s="304">
        <f t="shared" si="47"/>
        <v>3.7551819990948852E-3</v>
      </c>
      <c r="G82" s="304">
        <f t="shared" si="47"/>
        <v>4.1660419121239845E-3</v>
      </c>
      <c r="H82" s="304">
        <f t="shared" si="47"/>
        <v>3.7870161050911643E-3</v>
      </c>
      <c r="I82" s="304">
        <f t="shared" si="47"/>
        <v>3.2845848146873403E-3</v>
      </c>
      <c r="J82" s="304">
        <f t="shared" si="47"/>
        <v>2.8689492415062737E-3</v>
      </c>
      <c r="K82" s="304">
        <f t="shared" si="47"/>
        <v>4.2195299827108403E-3</v>
      </c>
      <c r="L82" s="305"/>
      <c r="M82" s="305"/>
      <c r="N82" s="305"/>
      <c r="O82" s="305"/>
      <c r="P82" s="305"/>
      <c r="Q82" s="305"/>
      <c r="R82" s="306"/>
    </row>
    <row r="83" spans="1:18" s="240" customFormat="1" ht="16.350000000000001" customHeight="1" outlineLevel="1">
      <c r="A83" s="294"/>
      <c r="B83" s="302" t="s">
        <v>277</v>
      </c>
      <c r="C83" s="303"/>
      <c r="D83" s="304">
        <f t="shared" ref="D83:K83" si="48">D1564/D1483</f>
        <v>-7.4432950274767665E-3</v>
      </c>
      <c r="E83" s="304">
        <f t="shared" si="48"/>
        <v>-8.645739051980194E-3</v>
      </c>
      <c r="F83" s="304">
        <f t="shared" si="48"/>
        <v>-1.3370686188213418E-2</v>
      </c>
      <c r="G83" s="304">
        <f t="shared" si="48"/>
        <v>-1.2765142819330277E-2</v>
      </c>
      <c r="H83" s="304">
        <f t="shared" si="48"/>
        <v>-1.8782158675326496E-2</v>
      </c>
      <c r="I83" s="304">
        <f t="shared" si="48"/>
        <v>-1.7481044510864061E-2</v>
      </c>
      <c r="J83" s="304">
        <f t="shared" si="48"/>
        <v>-1.6038447654503397E-2</v>
      </c>
      <c r="K83" s="304">
        <f t="shared" si="48"/>
        <v>-1.2470889591943309E-2</v>
      </c>
      <c r="L83" s="305"/>
      <c r="M83" s="305"/>
      <c r="N83" s="305"/>
      <c r="O83" s="305"/>
      <c r="P83" s="305"/>
      <c r="Q83" s="305"/>
      <c r="R83" s="306"/>
    </row>
    <row r="84" spans="1:18" s="301" customFormat="1" ht="16.350000000000001" customHeight="1" outlineLevel="1">
      <c r="A84" s="294"/>
      <c r="B84" s="308" t="s">
        <v>278</v>
      </c>
      <c r="C84" s="316"/>
      <c r="D84" s="317">
        <f t="shared" ref="D84:K84" si="49">SUM(D79:D83)</f>
        <v>-8.3512376030075736E-3</v>
      </c>
      <c r="E84" s="317">
        <f t="shared" si="49"/>
        <v>-1.3556359416288469E-2</v>
      </c>
      <c r="F84" s="317">
        <f t="shared" si="49"/>
        <v>-2.2712046506340407E-2</v>
      </c>
      <c r="G84" s="317">
        <f t="shared" si="49"/>
        <v>-2.1752509897462663E-2</v>
      </c>
      <c r="H84" s="320">
        <f t="shared" si="49"/>
        <v>-2.3969355320404465E-2</v>
      </c>
      <c r="I84" s="320">
        <f t="shared" si="49"/>
        <v>-2.3092681101478767E-2</v>
      </c>
      <c r="J84" s="320">
        <f t="shared" si="49"/>
        <v>-2.2297380802504874E-2</v>
      </c>
      <c r="K84" s="320">
        <f t="shared" si="49"/>
        <v>-1.8150562781288952E-2</v>
      </c>
      <c r="L84" s="318"/>
      <c r="M84" s="318"/>
      <c r="N84" s="318"/>
      <c r="O84" s="318"/>
      <c r="P84" s="318"/>
      <c r="Q84" s="318"/>
      <c r="R84" s="306"/>
    </row>
    <row r="85" spans="1:18" s="301" customFormat="1" ht="16.350000000000001" customHeight="1" outlineLevel="1">
      <c r="A85" s="294"/>
      <c r="B85" s="312" t="s">
        <v>279</v>
      </c>
      <c r="C85" s="313"/>
      <c r="D85" s="314">
        <f>D77+D84+D89</f>
        <v>2.7375990985697138E-2</v>
      </c>
      <c r="E85" s="314">
        <f>E77+E84+E89</f>
        <v>3.1084163590154427E-2</v>
      </c>
      <c r="F85" s="314">
        <f t="shared" ref="F85:K85" si="50">F77+F84+F89</f>
        <v>5.0621891621384585E-2</v>
      </c>
      <c r="G85" s="314">
        <f t="shared" si="50"/>
        <v>6.2129572312248707E-2</v>
      </c>
      <c r="H85" s="314">
        <f t="shared" si="50"/>
        <v>6.2454671886420156E-2</v>
      </c>
      <c r="I85" s="314">
        <f t="shared" si="50"/>
        <v>6.1446764891213153E-2</v>
      </c>
      <c r="J85" s="314">
        <f t="shared" si="50"/>
        <v>5.5982746194100291E-2</v>
      </c>
      <c r="K85" s="314">
        <f t="shared" si="50"/>
        <v>3.6651286473683667E-2</v>
      </c>
      <c r="L85" s="315"/>
      <c r="M85" s="315"/>
      <c r="N85" s="315"/>
      <c r="O85" s="315"/>
      <c r="P85" s="315"/>
      <c r="Q85" s="315"/>
      <c r="R85" s="306"/>
    </row>
    <row r="86" spans="1:18" s="266" customFormat="1" ht="16.350000000000001" customHeight="1" outlineLevel="1">
      <c r="A86" s="294"/>
      <c r="B86" s="321"/>
      <c r="C86" s="202"/>
      <c r="D86" s="322"/>
      <c r="E86" s="322"/>
      <c r="F86" s="322"/>
      <c r="G86" s="322"/>
      <c r="H86" s="322"/>
      <c r="I86" s="322"/>
      <c r="J86" s="322"/>
      <c r="K86" s="322"/>
      <c r="L86" s="323"/>
      <c r="M86" s="323"/>
      <c r="N86" s="323"/>
      <c r="O86" s="323"/>
      <c r="P86" s="323"/>
      <c r="Q86" s="323"/>
      <c r="R86" s="306"/>
    </row>
    <row r="87" spans="1:18" s="327" customFormat="1" ht="16.350000000000001" customHeight="1" outlineLevel="1">
      <c r="A87" s="294"/>
      <c r="B87" s="324" t="s">
        <v>280</v>
      </c>
      <c r="C87" s="210"/>
      <c r="D87" s="209">
        <f>D1525/D$1483</f>
        <v>-1.7001889411313962E-4</v>
      </c>
      <c r="E87" s="209">
        <f t="shared" ref="E87:K88" si="51">E1525/E$1483</f>
        <v>-2.9800551668899861E-4</v>
      </c>
      <c r="F87" s="209">
        <f t="shared" si="51"/>
        <v>-9.8858259947585194E-5</v>
      </c>
      <c r="G87" s="209">
        <f t="shared" si="51"/>
        <v>-2.373877910755504E-4</v>
      </c>
      <c r="H87" s="325">
        <f t="shared" si="51"/>
        <v>-4.8785423051278331E-4</v>
      </c>
      <c r="I87" s="325">
        <f t="shared" si="51"/>
        <v>-3.219107265532516E-4</v>
      </c>
      <c r="J87" s="325">
        <f t="shared" si="51"/>
        <v>-5.7425300409411225E-4</v>
      </c>
      <c r="K87" s="325">
        <f t="shared" si="51"/>
        <v>-8.5159977191417448E-4</v>
      </c>
      <c r="L87" s="326"/>
      <c r="M87" s="326"/>
      <c r="N87" s="326"/>
      <c r="O87" s="326"/>
      <c r="P87" s="326"/>
      <c r="Q87" s="326"/>
      <c r="R87" s="306"/>
    </row>
    <row r="88" spans="1:18" s="327" customFormat="1" ht="16.350000000000001" customHeight="1" outlineLevel="1">
      <c r="A88" s="294"/>
      <c r="B88" s="324" t="s">
        <v>281</v>
      </c>
      <c r="C88" s="210"/>
      <c r="D88" s="209">
        <f>D1526/D$1483</f>
        <v>7.3857298615792478E-3</v>
      </c>
      <c r="E88" s="209">
        <f t="shared" si="51"/>
        <v>1.135197977322782E-2</v>
      </c>
      <c r="F88" s="209">
        <f t="shared" si="51"/>
        <v>1.2368377461636404E-2</v>
      </c>
      <c r="G88" s="209">
        <f t="shared" si="51"/>
        <v>1.2503462291002406E-2</v>
      </c>
      <c r="H88" s="325">
        <f t="shared" si="51"/>
        <v>8.7042852532001041E-3</v>
      </c>
      <c r="I88" s="325">
        <f t="shared" si="51"/>
        <v>8.5725097313262451E-3</v>
      </c>
      <c r="J88" s="325">
        <f t="shared" si="51"/>
        <v>9.0389332972009399E-3</v>
      </c>
      <c r="K88" s="325">
        <f t="shared" si="51"/>
        <v>1.0187016739761256E-2</v>
      </c>
      <c r="L88" s="326"/>
      <c r="M88" s="326"/>
      <c r="N88" s="326"/>
      <c r="O88" s="326"/>
      <c r="P88" s="326"/>
      <c r="Q88" s="326"/>
      <c r="R88" s="306"/>
    </row>
    <row r="89" spans="1:18" s="327" customFormat="1" ht="16.350000000000001" customHeight="1" outlineLevel="1">
      <c r="A89" s="294"/>
      <c r="B89" s="324" t="s">
        <v>282</v>
      </c>
      <c r="C89" s="210"/>
      <c r="D89" s="209">
        <f>D1549/D1483</f>
        <v>-1.1441328335802679E-3</v>
      </c>
      <c r="E89" s="209">
        <f t="shared" ref="E89:K89" si="52">E1549/E1483</f>
        <v>1.1692321850873558E-4</v>
      </c>
      <c r="F89" s="209">
        <f t="shared" si="52"/>
        <v>1.0597429807681432E-3</v>
      </c>
      <c r="G89" s="209">
        <f t="shared" si="52"/>
        <v>-2.7698075550667426E-3</v>
      </c>
      <c r="H89" s="209">
        <f t="shared" si="52"/>
        <v>-3.6857649712285579E-3</v>
      </c>
      <c r="I89" s="209">
        <f t="shared" si="52"/>
        <v>-6.0554787028652037E-4</v>
      </c>
      <c r="J89" s="209">
        <f t="shared" si="52"/>
        <v>2.5890810014391998E-4</v>
      </c>
      <c r="K89" s="209">
        <f t="shared" si="52"/>
        <v>1.1670540944884088E-4</v>
      </c>
      <c r="L89" s="326"/>
      <c r="M89" s="326"/>
      <c r="N89" s="326"/>
      <c r="O89" s="326"/>
      <c r="P89" s="326"/>
      <c r="Q89" s="326"/>
      <c r="R89" s="306"/>
    </row>
    <row r="90" spans="1:18" s="327" customFormat="1" ht="16.350000000000001" customHeight="1" outlineLevel="1">
      <c r="A90" s="294"/>
      <c r="B90" s="324" t="s">
        <v>283</v>
      </c>
      <c r="C90" s="210"/>
      <c r="D90" s="209">
        <f t="shared" ref="D90:K90" si="53">D1527/D$1483</f>
        <v>7.4432950274767665E-3</v>
      </c>
      <c r="E90" s="209">
        <f t="shared" si="53"/>
        <v>8.645739051980194E-3</v>
      </c>
      <c r="F90" s="209">
        <f t="shared" si="53"/>
        <v>1.3370686188213418E-2</v>
      </c>
      <c r="G90" s="209">
        <f t="shared" si="53"/>
        <v>1.2765142819330277E-2</v>
      </c>
      <c r="H90" s="325">
        <f t="shared" si="53"/>
        <v>1.8782158675326496E-2</v>
      </c>
      <c r="I90" s="325">
        <f t="shared" si="53"/>
        <v>1.7481044510864061E-2</v>
      </c>
      <c r="J90" s="325">
        <f t="shared" si="53"/>
        <v>1.6038447654503397E-2</v>
      </c>
      <c r="K90" s="325">
        <f t="shared" si="53"/>
        <v>1.2470889591943309E-2</v>
      </c>
      <c r="L90" s="326"/>
      <c r="M90" s="326"/>
      <c r="N90" s="326"/>
      <c r="O90" s="326"/>
      <c r="P90" s="326"/>
      <c r="Q90" s="326"/>
      <c r="R90" s="306"/>
    </row>
    <row r="91" spans="1:18" s="301" customFormat="1" ht="16.350000000000001" customHeight="1" outlineLevel="1">
      <c r="A91" s="294"/>
      <c r="B91" s="312" t="s">
        <v>284</v>
      </c>
      <c r="C91" s="313"/>
      <c r="D91" s="314">
        <f>D1524/D$1483</f>
        <v>4.3179129814220257E-2</v>
      </c>
      <c r="E91" s="314">
        <f t="shared" ref="E91:K91" si="54">E1524/E$1483</f>
        <v>5.0666953680164641E-2</v>
      </c>
      <c r="F91" s="314">
        <f t="shared" si="54"/>
        <v>7.5202354030518725E-2</v>
      </c>
      <c r="G91" s="314">
        <f t="shared" si="54"/>
        <v>8.9930597186572606E-2</v>
      </c>
      <c r="H91" s="314">
        <f t="shared" si="54"/>
        <v>9.3139026555662488E-2</v>
      </c>
      <c r="I91" s="314">
        <f t="shared" si="54"/>
        <v>8.7783956277136685E-2</v>
      </c>
      <c r="J91" s="314">
        <f t="shared" si="54"/>
        <v>8.0226966041566594E-2</v>
      </c>
      <c r="K91" s="314">
        <f t="shared" si="54"/>
        <v>5.8340887624025228E-2</v>
      </c>
      <c r="L91" s="315"/>
      <c r="M91" s="315"/>
      <c r="N91" s="315"/>
      <c r="O91" s="315"/>
      <c r="P91" s="315"/>
      <c r="Q91" s="315"/>
      <c r="R91" s="306"/>
    </row>
    <row r="92" spans="1:18" s="266" customFormat="1" ht="16.350000000000001" customHeight="1" outlineLevel="1">
      <c r="A92" s="294"/>
      <c r="B92" s="321"/>
      <c r="C92" s="202"/>
      <c r="D92" s="191"/>
      <c r="E92" s="191"/>
      <c r="F92" s="191"/>
      <c r="G92" s="191"/>
      <c r="H92" s="328"/>
      <c r="I92" s="328"/>
      <c r="J92" s="328"/>
      <c r="K92" s="328"/>
      <c r="L92" s="323"/>
      <c r="M92" s="323"/>
      <c r="N92" s="323"/>
      <c r="O92" s="323"/>
      <c r="P92" s="323"/>
      <c r="Q92" s="323"/>
      <c r="R92" s="306"/>
    </row>
    <row r="93" spans="1:18" s="327" customFormat="1" ht="16.350000000000001" customHeight="1" outlineLevel="1">
      <c r="A93" s="294"/>
      <c r="B93" s="324" t="s">
        <v>285</v>
      </c>
      <c r="C93" s="210"/>
      <c r="D93" s="209">
        <f>D1498/D$1483</f>
        <v>2.871534207514757E-2</v>
      </c>
      <c r="E93" s="209">
        <f t="shared" ref="E93:K94" si="55">E1498/E$1483</f>
        <v>2.881741002817156E-2</v>
      </c>
      <c r="F93" s="209">
        <f t="shared" si="55"/>
        <v>2.3464361641947887E-2</v>
      </c>
      <c r="G93" s="209">
        <f t="shared" si="55"/>
        <v>2.1676422178869999E-2</v>
      </c>
      <c r="H93" s="325">
        <f t="shared" si="55"/>
        <v>2.2611128751171283E-2</v>
      </c>
      <c r="I93" s="325">
        <f t="shared" si="55"/>
        <v>2.3961696884402361E-2</v>
      </c>
      <c r="J93" s="325">
        <f t="shared" si="55"/>
        <v>2.4574199404621029E-2</v>
      </c>
      <c r="K93" s="325">
        <f t="shared" si="55"/>
        <v>2.3301290403234465E-2</v>
      </c>
      <c r="L93" s="326"/>
      <c r="M93" s="326"/>
      <c r="N93" s="326"/>
      <c r="O93" s="326"/>
      <c r="P93" s="326"/>
      <c r="Q93" s="326"/>
      <c r="R93" s="306"/>
    </row>
    <row r="94" spans="1:18" s="327" customFormat="1" ht="16.350000000000001" customHeight="1" outlineLevel="1">
      <c r="A94" s="294"/>
      <c r="B94" s="324" t="s">
        <v>286</v>
      </c>
      <c r="C94" s="210"/>
      <c r="D94" s="209">
        <f>D1499/D$1483</f>
        <v>8.0525752072312226E-4</v>
      </c>
      <c r="E94" s="209">
        <f t="shared" si="55"/>
        <v>6.7203036770974644E-4</v>
      </c>
      <c r="F94" s="209">
        <f t="shared" si="55"/>
        <v>5.6369509403320019E-4</v>
      </c>
      <c r="G94" s="209">
        <f t="shared" si="55"/>
        <v>5.3736780313799423E-4</v>
      </c>
      <c r="H94" s="325">
        <f t="shared" si="55"/>
        <v>4.5244226593761449E-4</v>
      </c>
      <c r="I94" s="325">
        <f t="shared" si="55"/>
        <v>5.0695807422001041E-4</v>
      </c>
      <c r="J94" s="325">
        <f t="shared" si="55"/>
        <v>5.4423480285155173E-4</v>
      </c>
      <c r="K94" s="325">
        <f t="shared" si="55"/>
        <v>4.6972899599695796E-4</v>
      </c>
      <c r="L94" s="326"/>
      <c r="M94" s="326"/>
      <c r="N94" s="326"/>
      <c r="O94" s="326"/>
      <c r="P94" s="326"/>
      <c r="Q94" s="326"/>
      <c r="R94" s="306"/>
    </row>
    <row r="95" spans="1:18" s="301" customFormat="1" ht="16.350000000000001" customHeight="1" outlineLevel="1">
      <c r="A95" s="294"/>
      <c r="B95" s="312" t="s">
        <v>232</v>
      </c>
      <c r="C95" s="313"/>
      <c r="D95" s="314">
        <f t="shared" ref="D95:K95" si="56">D1497/D$1483</f>
        <v>7.2699729410090952E-2</v>
      </c>
      <c r="E95" s="314">
        <f t="shared" si="56"/>
        <v>8.0156394076045953E-2</v>
      </c>
      <c r="F95" s="314">
        <f t="shared" si="56"/>
        <v>9.9230410766499813E-2</v>
      </c>
      <c r="G95" s="314">
        <f t="shared" si="56"/>
        <v>0.11214438716858061</v>
      </c>
      <c r="H95" s="314">
        <f t="shared" si="56"/>
        <v>0.11620259757277138</v>
      </c>
      <c r="I95" s="314">
        <f t="shared" si="56"/>
        <v>0.11225261123575905</v>
      </c>
      <c r="J95" s="314">
        <f t="shared" si="56"/>
        <v>0.10534540024903918</v>
      </c>
      <c r="K95" s="314">
        <f t="shared" si="56"/>
        <v>8.2111907023256658E-2</v>
      </c>
      <c r="L95" s="315"/>
      <c r="M95" s="315"/>
      <c r="N95" s="315"/>
      <c r="O95" s="315"/>
      <c r="P95" s="315"/>
      <c r="Q95" s="315"/>
      <c r="R95" s="306"/>
    </row>
    <row r="96" spans="1:18" s="330" customFormat="1" ht="16.350000000000001" customHeight="1" outlineLevel="1">
      <c r="A96" s="294"/>
      <c r="B96" s="319"/>
      <c r="C96" s="202"/>
      <c r="D96" s="191"/>
      <c r="E96" s="191"/>
      <c r="F96" s="191"/>
      <c r="G96" s="191"/>
      <c r="H96" s="191"/>
      <c r="I96" s="191"/>
      <c r="J96" s="191"/>
      <c r="K96" s="191"/>
      <c r="L96" s="329"/>
      <c r="M96" s="329"/>
      <c r="N96" s="329"/>
      <c r="O96" s="329"/>
      <c r="P96" s="329"/>
      <c r="Q96" s="329"/>
      <c r="R96" s="306"/>
    </row>
    <row r="97" spans="1:18" s="327" customFormat="1" ht="16.350000000000001" customHeight="1" outlineLevel="1">
      <c r="A97" s="294"/>
      <c r="B97" s="324" t="s">
        <v>287</v>
      </c>
      <c r="C97" s="210"/>
      <c r="D97" s="209">
        <f>(D1510/D1483)*-1</f>
        <v>4.1397223219984389E-2</v>
      </c>
      <c r="E97" s="209">
        <f t="shared" ref="E97:K97" si="57">(E1510/E1483)*-1</f>
        <v>3.96417825243792E-2</v>
      </c>
      <c r="F97" s="209">
        <f t="shared" si="57"/>
        <v>3.5793623409448388E-2</v>
      </c>
      <c r="G97" s="209">
        <f t="shared" si="57"/>
        <v>3.1744757681371305E-2</v>
      </c>
      <c r="H97" s="209">
        <f t="shared" si="57"/>
        <v>2.6945770365246896E-2</v>
      </c>
      <c r="I97" s="209">
        <f t="shared" si="57"/>
        <v>2.5801676909756387E-2</v>
      </c>
      <c r="J97" s="209">
        <f t="shared" si="57"/>
        <v>2.3158418179607523E-2</v>
      </c>
      <c r="K97" s="209">
        <f t="shared" si="57"/>
        <v>2.0949747001599933E-2</v>
      </c>
      <c r="L97" s="326"/>
      <c r="M97" s="326"/>
      <c r="N97" s="326"/>
      <c r="O97" s="326"/>
      <c r="P97" s="326"/>
      <c r="Q97" s="326"/>
      <c r="R97" s="306"/>
    </row>
    <row r="98" spans="1:18" s="301" customFormat="1" ht="16.350000000000001" customHeight="1" outlineLevel="1">
      <c r="A98" s="294"/>
      <c r="B98" s="312" t="s">
        <v>288</v>
      </c>
      <c r="C98" s="313"/>
      <c r="D98" s="314">
        <f>D1495/D$1483</f>
        <v>0.11409695263007534</v>
      </c>
      <c r="E98" s="314">
        <f t="shared" ref="E98:K98" si="58">E1495/E$1483</f>
        <v>0.11979817660042515</v>
      </c>
      <c r="F98" s="314">
        <f t="shared" si="58"/>
        <v>0.13502403417594822</v>
      </c>
      <c r="G98" s="314">
        <f t="shared" si="58"/>
        <v>0.14388914484995191</v>
      </c>
      <c r="H98" s="314">
        <f t="shared" si="58"/>
        <v>0.14314836793801827</v>
      </c>
      <c r="I98" s="314">
        <f t="shared" si="58"/>
        <v>0.13805428814551546</v>
      </c>
      <c r="J98" s="314">
        <f t="shared" si="58"/>
        <v>0.12850381842864669</v>
      </c>
      <c r="K98" s="314">
        <f t="shared" si="58"/>
        <v>0.10306165402485658</v>
      </c>
      <c r="L98" s="315"/>
      <c r="M98" s="315"/>
      <c r="N98" s="315"/>
      <c r="O98" s="315"/>
      <c r="P98" s="315"/>
      <c r="Q98" s="315"/>
      <c r="R98" s="306"/>
    </row>
    <row r="99" spans="1:18" s="301" customFormat="1" ht="16.350000000000001" customHeight="1" outlineLevel="1">
      <c r="A99" s="294"/>
      <c r="B99" s="312"/>
      <c r="C99" s="331"/>
      <c r="D99" s="332"/>
      <c r="E99" s="332"/>
      <c r="F99" s="332"/>
      <c r="G99" s="332"/>
      <c r="H99" s="332"/>
      <c r="I99" s="332"/>
      <c r="J99" s="332"/>
      <c r="K99" s="332"/>
      <c r="L99" s="205"/>
      <c r="M99" s="205"/>
      <c r="N99" s="205"/>
      <c r="O99" s="205"/>
      <c r="P99" s="205"/>
      <c r="Q99" s="205"/>
      <c r="R99" s="306"/>
    </row>
    <row r="100" spans="1:18" s="330" customFormat="1" ht="16.350000000000001" customHeight="1" outlineLevel="1">
      <c r="A100" s="294"/>
      <c r="B100" s="319" t="s">
        <v>289</v>
      </c>
      <c r="C100" s="202"/>
      <c r="D100" s="191">
        <f t="shared" ref="D100:K100" si="59">D37/D3</f>
        <v>1.0616682204791009E-2</v>
      </c>
      <c r="E100" s="191">
        <f t="shared" si="59"/>
        <v>-1.0952873409511212E-2</v>
      </c>
      <c r="F100" s="191">
        <f t="shared" si="59"/>
        <v>1.2309559709105992E-2</v>
      </c>
      <c r="G100" s="191">
        <f t="shared" si="59"/>
        <v>1.974515219719156E-2</v>
      </c>
      <c r="H100" s="191">
        <f t="shared" si="59"/>
        <v>6.5238090545588021E-3</v>
      </c>
      <c r="I100" s="191">
        <f t="shared" si="59"/>
        <v>-9.4006833387936771E-3</v>
      </c>
      <c r="J100" s="191">
        <f t="shared" si="59"/>
        <v>-2.4591961139526136E-2</v>
      </c>
      <c r="K100" s="191">
        <f t="shared" si="59"/>
        <v>-6.3892288526978591E-2</v>
      </c>
      <c r="L100" s="329"/>
      <c r="M100" s="329"/>
      <c r="N100" s="329"/>
      <c r="O100" s="329"/>
      <c r="P100" s="329"/>
      <c r="Q100" s="329"/>
      <c r="R100" s="306"/>
    </row>
    <row r="101" spans="1:18" s="330" customFormat="1" ht="16.350000000000001" customHeight="1" outlineLevel="1">
      <c r="A101" s="294"/>
      <c r="B101" s="333"/>
      <c r="C101" s="334"/>
      <c r="D101" s="334"/>
      <c r="E101" s="334"/>
      <c r="F101" s="334"/>
      <c r="G101" s="334"/>
      <c r="H101" s="334"/>
      <c r="I101" s="334"/>
      <c r="J101" s="334"/>
      <c r="K101" s="334"/>
      <c r="L101" s="335"/>
      <c r="M101" s="335"/>
      <c r="N101" s="335"/>
      <c r="O101" s="335"/>
      <c r="P101" s="335"/>
      <c r="Q101" s="335"/>
      <c r="R101" s="306"/>
    </row>
    <row r="102" spans="1:18" s="142" customFormat="1" ht="16.350000000000001" customHeight="1">
      <c r="A102" s="1574" t="s">
        <v>290</v>
      </c>
      <c r="B102" s="1575"/>
      <c r="C102" s="336"/>
      <c r="D102" s="336"/>
      <c r="E102" s="336"/>
      <c r="F102" s="336"/>
      <c r="G102" s="336"/>
      <c r="H102" s="337"/>
      <c r="I102" s="337"/>
      <c r="J102" s="337"/>
      <c r="K102" s="337"/>
      <c r="L102" s="337"/>
      <c r="M102" s="337"/>
      <c r="N102" s="337"/>
      <c r="O102" s="337"/>
      <c r="P102" s="337"/>
      <c r="Q102" s="337"/>
      <c r="R102" s="338"/>
    </row>
    <row r="103" spans="1:18" s="343" customFormat="1" ht="16.350000000000001" customHeight="1" outlineLevel="1">
      <c r="A103" s="339"/>
      <c r="B103" s="340" t="s">
        <v>291</v>
      </c>
      <c r="C103" s="341"/>
      <c r="D103" s="341"/>
      <c r="E103" s="341"/>
      <c r="F103" s="341"/>
      <c r="G103" s="341"/>
      <c r="H103" s="341"/>
      <c r="I103" s="341"/>
      <c r="J103" s="341"/>
      <c r="K103" s="341"/>
      <c r="L103" s="342"/>
      <c r="M103" s="342"/>
      <c r="N103" s="342"/>
      <c r="O103" s="342"/>
      <c r="P103" s="342"/>
      <c r="Q103" s="342"/>
      <c r="R103" s="300"/>
    </row>
    <row r="104" spans="1:18" s="348" customFormat="1" ht="16.350000000000001" customHeight="1" outlineLevel="1">
      <c r="A104" s="344"/>
      <c r="B104" s="345" t="s">
        <v>292</v>
      </c>
      <c r="C104" s="346"/>
      <c r="D104" s="346">
        <f t="shared" ref="D104:K104" si="60">D107*D112*D121</f>
        <v>0.14370860803198135</v>
      </c>
      <c r="E104" s="346">
        <f t="shared" si="60"/>
        <v>0.147027480687243</v>
      </c>
      <c r="F104" s="346">
        <f t="shared" si="60"/>
        <v>0.29387107045711836</v>
      </c>
      <c r="G104" s="346">
        <f t="shared" si="60"/>
        <v>0.38602181785575357</v>
      </c>
      <c r="H104" s="346">
        <f t="shared" si="60"/>
        <v>0.37342913130803324</v>
      </c>
      <c r="I104" s="346">
        <f t="shared" si="60"/>
        <v>0.30986788402796012</v>
      </c>
      <c r="J104" s="346">
        <f t="shared" si="60"/>
        <v>0.2819696407472263</v>
      </c>
      <c r="K104" s="346">
        <f t="shared" si="60"/>
        <v>0.15656873040780869</v>
      </c>
      <c r="L104" s="346"/>
      <c r="M104" s="346"/>
      <c r="N104" s="346"/>
      <c r="O104" s="346"/>
      <c r="P104" s="346"/>
      <c r="Q104" s="346"/>
      <c r="R104" s="347"/>
    </row>
    <row r="105" spans="1:18" s="348" customFormat="1" ht="16.350000000000001" customHeight="1" outlineLevel="1">
      <c r="A105" s="339"/>
      <c r="B105" s="345" t="s">
        <v>293</v>
      </c>
      <c r="C105" s="346"/>
      <c r="D105" s="346">
        <f t="shared" ref="D105:K105" si="61">D107*D112</f>
        <v>5.9520413080179677E-2</v>
      </c>
      <c r="E105" s="346">
        <f t="shared" si="61"/>
        <v>7.2436805372612004E-2</v>
      </c>
      <c r="F105" s="346">
        <f t="shared" si="61"/>
        <v>0.12666385351002568</v>
      </c>
      <c r="G105" s="346">
        <f t="shared" si="61"/>
        <v>0.15771643083389919</v>
      </c>
      <c r="H105" s="346">
        <f t="shared" si="61"/>
        <v>0.15559662448454362</v>
      </c>
      <c r="I105" s="346">
        <f t="shared" si="61"/>
        <v>0.14577341204237163</v>
      </c>
      <c r="J105" s="346">
        <f t="shared" si="61"/>
        <v>0.1268837801572161</v>
      </c>
      <c r="K105" s="346">
        <f t="shared" si="61"/>
        <v>7.0154572540957583E-2</v>
      </c>
      <c r="L105" s="346"/>
      <c r="M105" s="346"/>
      <c r="N105" s="346"/>
      <c r="O105" s="346"/>
      <c r="P105" s="346"/>
      <c r="Q105" s="346"/>
      <c r="R105" s="306"/>
    </row>
    <row r="106" spans="1:18" s="348" customFormat="1" ht="16.350000000000001" customHeight="1" outlineLevel="1">
      <c r="A106" s="344"/>
      <c r="B106" s="345" t="s">
        <v>294</v>
      </c>
      <c r="C106" s="346"/>
      <c r="D106" s="346">
        <f t="shared" ref="D106:J106" si="62">D49/AVERAGE(D53,E53)</f>
        <v>0.11072337193321916</v>
      </c>
      <c r="E106" s="346">
        <f t="shared" si="62"/>
        <v>0.13437723935265108</v>
      </c>
      <c r="F106" s="346">
        <f t="shared" si="62"/>
        <v>0.22510057335900394</v>
      </c>
      <c r="G106" s="346">
        <f t="shared" si="62"/>
        <v>0.29389814671741821</v>
      </c>
      <c r="H106" s="346">
        <f t="shared" si="62"/>
        <v>0.26308896884812205</v>
      </c>
      <c r="I106" s="346">
        <f t="shared" si="62"/>
        <v>0.23024429046128023</v>
      </c>
      <c r="J106" s="346">
        <f t="shared" si="62"/>
        <v>0.21247057601599947</v>
      </c>
      <c r="K106" s="346">
        <v>0.15285802873586682</v>
      </c>
      <c r="L106" s="346"/>
      <c r="M106" s="346"/>
      <c r="N106" s="346"/>
      <c r="O106" s="346"/>
      <c r="P106" s="346"/>
      <c r="Q106" s="346"/>
      <c r="R106" s="347"/>
    </row>
    <row r="107" spans="1:18" s="246" customFormat="1" ht="16.350000000000001" customHeight="1" outlineLevel="1">
      <c r="A107" s="339"/>
      <c r="B107" s="349" t="s">
        <v>295</v>
      </c>
      <c r="C107" s="243"/>
      <c r="D107" s="243">
        <f t="shared" ref="D107:K107" si="63">D85</f>
        <v>2.7375990985697138E-2</v>
      </c>
      <c r="E107" s="243">
        <f t="shared" si="63"/>
        <v>3.1084163590154427E-2</v>
      </c>
      <c r="F107" s="243">
        <f t="shared" si="63"/>
        <v>5.0621891621384585E-2</v>
      </c>
      <c r="G107" s="243">
        <f t="shared" si="63"/>
        <v>6.2129572312248707E-2</v>
      </c>
      <c r="H107" s="243">
        <f t="shared" si="63"/>
        <v>6.2454671886420156E-2</v>
      </c>
      <c r="I107" s="243">
        <f t="shared" si="63"/>
        <v>6.1446764891213153E-2</v>
      </c>
      <c r="J107" s="243">
        <f t="shared" si="63"/>
        <v>5.5982746194100291E-2</v>
      </c>
      <c r="K107" s="243">
        <f t="shared" si="63"/>
        <v>3.6651286473683667E-2</v>
      </c>
      <c r="L107" s="243"/>
      <c r="M107" s="243"/>
      <c r="N107" s="243"/>
      <c r="O107" s="243"/>
      <c r="P107" s="243"/>
      <c r="Q107" s="243"/>
      <c r="R107" s="306"/>
    </row>
    <row r="108" spans="1:18" s="246" customFormat="1" ht="16.350000000000001" customHeight="1" outlineLevel="1">
      <c r="A108" s="339"/>
      <c r="B108" s="349" t="s">
        <v>296</v>
      </c>
      <c r="C108" s="243"/>
      <c r="D108" s="243">
        <f t="shared" ref="D108:K108" si="64">D68</f>
        <v>0.23964709763525616</v>
      </c>
      <c r="E108" s="243">
        <f t="shared" si="64"/>
        <v>0.25320904532817468</v>
      </c>
      <c r="F108" s="243">
        <f t="shared" si="64"/>
        <v>0.27517289695975855</v>
      </c>
      <c r="G108" s="243">
        <f t="shared" si="64"/>
        <v>0.28489060246047293</v>
      </c>
      <c r="H108" s="243">
        <f t="shared" si="64"/>
        <v>0.28881819531963482</v>
      </c>
      <c r="I108" s="243">
        <f t="shared" si="64"/>
        <v>0.28508617153906901</v>
      </c>
      <c r="J108" s="243">
        <f t="shared" si="64"/>
        <v>0.26534901473646055</v>
      </c>
      <c r="K108" s="243">
        <f t="shared" si="64"/>
        <v>0.24326322730540539</v>
      </c>
      <c r="L108" s="243"/>
      <c r="M108" s="243"/>
      <c r="N108" s="243"/>
      <c r="O108" s="243"/>
      <c r="P108" s="243"/>
      <c r="Q108" s="243"/>
      <c r="R108" s="306"/>
    </row>
    <row r="109" spans="1:18" s="256" customFormat="1" ht="16.350000000000001" customHeight="1" outlineLevel="1">
      <c r="A109" s="344"/>
      <c r="B109" s="350" t="s">
        <v>297</v>
      </c>
      <c r="C109" s="253"/>
      <c r="D109" s="253">
        <f t="shared" ref="D109:K109" si="65">D140/D41</f>
        <v>10.59002212005106</v>
      </c>
      <c r="E109" s="253">
        <f t="shared" si="65"/>
        <v>18.143269396903207</v>
      </c>
      <c r="F109" s="253">
        <f t="shared" si="65"/>
        <v>18.957807974541858</v>
      </c>
      <c r="G109" s="253">
        <f t="shared" si="65"/>
        <v>17.813549940231489</v>
      </c>
      <c r="H109" s="253">
        <f t="shared" si="65"/>
        <v>19.540549437900271</v>
      </c>
      <c r="I109" s="253">
        <f t="shared" si="65"/>
        <v>24.396147996167922</v>
      </c>
      <c r="J109" s="253">
        <f t="shared" si="65"/>
        <v>18.191853859645324</v>
      </c>
      <c r="K109" s="253">
        <f t="shared" si="65"/>
        <v>21.275053096128158</v>
      </c>
      <c r="L109" s="253"/>
      <c r="M109" s="253"/>
      <c r="N109" s="253"/>
      <c r="O109" s="253"/>
      <c r="P109" s="253"/>
      <c r="Q109" s="253"/>
      <c r="R109" s="347"/>
    </row>
    <row r="110" spans="1:18" s="353" customFormat="1" ht="16.350000000000001" customHeight="1" outlineLevel="1">
      <c r="A110" s="339"/>
      <c r="B110" s="351"/>
      <c r="C110" s="352"/>
      <c r="D110" s="352"/>
      <c r="E110" s="352"/>
      <c r="F110" s="352"/>
      <c r="G110" s="352"/>
      <c r="H110" s="352"/>
      <c r="I110" s="352"/>
      <c r="J110" s="352"/>
      <c r="K110" s="352"/>
      <c r="L110" s="352"/>
      <c r="M110" s="352"/>
      <c r="N110" s="352"/>
      <c r="O110" s="352"/>
      <c r="P110" s="352"/>
      <c r="Q110" s="352"/>
      <c r="R110" s="306"/>
    </row>
    <row r="111" spans="1:18" s="343" customFormat="1" ht="16.350000000000001" customHeight="1" outlineLevel="1">
      <c r="A111" s="339"/>
      <c r="B111" s="340" t="s">
        <v>298</v>
      </c>
      <c r="C111" s="341"/>
      <c r="D111" s="341"/>
      <c r="E111" s="341"/>
      <c r="F111" s="341"/>
      <c r="G111" s="341"/>
      <c r="H111" s="341"/>
      <c r="I111" s="341"/>
      <c r="J111" s="341"/>
      <c r="K111" s="341"/>
      <c r="L111" s="342"/>
      <c r="M111" s="342"/>
      <c r="N111" s="342"/>
      <c r="O111" s="342"/>
      <c r="P111" s="342"/>
      <c r="Q111" s="342"/>
      <c r="R111" s="306"/>
    </row>
    <row r="112" spans="1:18" s="353" customFormat="1" ht="16.350000000000001" customHeight="1" outlineLevel="1">
      <c r="A112" s="339"/>
      <c r="B112" s="354" t="s">
        <v>299</v>
      </c>
      <c r="C112" s="352"/>
      <c r="D112" s="352">
        <f t="shared" ref="D112:J112" si="66">D1483/AVERAGE(D1360,E1360)</f>
        <v>2.1741829587566972</v>
      </c>
      <c r="E112" s="352">
        <f t="shared" si="66"/>
        <v>2.3303443620903983</v>
      </c>
      <c r="F112" s="352">
        <f t="shared" si="66"/>
        <v>2.5021556771797542</v>
      </c>
      <c r="G112" s="352">
        <f t="shared" si="66"/>
        <v>2.5385082331044106</v>
      </c>
      <c r="H112" s="352">
        <f t="shared" si="66"/>
        <v>2.4913528449482705</v>
      </c>
      <c r="I112" s="352">
        <f t="shared" si="66"/>
        <v>2.3723529188306727</v>
      </c>
      <c r="J112" s="352">
        <f t="shared" si="66"/>
        <v>2.2664800993736831</v>
      </c>
      <c r="K112" s="352">
        <v>1.9141094158135465</v>
      </c>
      <c r="L112" s="352"/>
      <c r="M112" s="352"/>
      <c r="N112" s="352"/>
      <c r="O112" s="352"/>
      <c r="P112" s="352"/>
      <c r="Q112" s="352"/>
      <c r="R112" s="306"/>
    </row>
    <row r="113" spans="1:18" s="353" customFormat="1" ht="16.350000000000001" customHeight="1" outlineLevel="1">
      <c r="A113" s="339"/>
      <c r="B113" s="355" t="s">
        <v>300</v>
      </c>
      <c r="C113" s="352"/>
      <c r="D113" s="352">
        <f t="shared" ref="D113:J113" si="67">D1483/AVERAGE(D1335,E1335)</f>
        <v>3.4376553524815132</v>
      </c>
      <c r="E113" s="352">
        <f t="shared" si="67"/>
        <v>3.6134412486570735</v>
      </c>
      <c r="F113" s="352">
        <f t="shared" si="67"/>
        <v>3.7818667746436434</v>
      </c>
      <c r="G113" s="352">
        <f t="shared" si="67"/>
        <v>3.7177675076293144</v>
      </c>
      <c r="H113" s="352">
        <f t="shared" si="67"/>
        <v>3.4711048506767965</v>
      </c>
      <c r="I113" s="352">
        <f t="shared" si="67"/>
        <v>3.1884485991653961</v>
      </c>
      <c r="J113" s="352">
        <f t="shared" si="67"/>
        <v>3.1069750153535742</v>
      </c>
      <c r="K113" s="352">
        <v>2.6620095871056773</v>
      </c>
      <c r="L113" s="352"/>
      <c r="M113" s="352"/>
      <c r="N113" s="352"/>
      <c r="O113" s="352"/>
      <c r="P113" s="352"/>
      <c r="Q113" s="352"/>
      <c r="R113" s="347"/>
    </row>
    <row r="114" spans="1:18" s="353" customFormat="1" ht="16.350000000000001" customHeight="1" outlineLevel="1">
      <c r="A114" s="339"/>
      <c r="B114" s="354" t="s">
        <v>301</v>
      </c>
      <c r="C114" s="352"/>
      <c r="D114" s="352">
        <f t="shared" ref="D114:J114" si="68">D1483/AVERAGE(D1338,E1338)</f>
        <v>7.0689953497906632</v>
      </c>
      <c r="E114" s="352">
        <f t="shared" si="68"/>
        <v>7.6959719771334303</v>
      </c>
      <c r="F114" s="352">
        <f t="shared" si="68"/>
        <v>8.5510411313704573</v>
      </c>
      <c r="G114" s="352">
        <f t="shared" si="68"/>
        <v>9.604713837698819</v>
      </c>
      <c r="H114" s="352">
        <f t="shared" si="68"/>
        <v>11.100113672882777</v>
      </c>
      <c r="I114" s="352">
        <f t="shared" si="68"/>
        <v>11.937576610594501</v>
      </c>
      <c r="J114" s="352">
        <f t="shared" si="68"/>
        <v>12.787831900886086</v>
      </c>
      <c r="K114" s="352">
        <v>13.63176324719509</v>
      </c>
      <c r="L114" s="352"/>
      <c r="M114" s="352"/>
      <c r="N114" s="352"/>
      <c r="O114" s="352"/>
      <c r="P114" s="352"/>
      <c r="Q114" s="352"/>
      <c r="R114" s="347"/>
    </row>
    <row r="115" spans="1:18" s="256" customFormat="1" ht="16.350000000000001" customHeight="1" outlineLevel="1">
      <c r="A115" s="339"/>
      <c r="B115" s="350" t="s">
        <v>302</v>
      </c>
      <c r="C115" s="253"/>
      <c r="D115" s="253">
        <f>(365*D1351)/D1483</f>
        <v>7.8923267730841298</v>
      </c>
      <c r="E115" s="253">
        <f>(365*E1351)/E1483</f>
        <v>5.8541702752358828</v>
      </c>
      <c r="F115" s="253">
        <f>(366*F1351)/F1483</f>
        <v>5.6388426077526148</v>
      </c>
      <c r="G115" s="253">
        <f>(365*G1351)/G1483</f>
        <v>3.22179206204614</v>
      </c>
      <c r="H115" s="253">
        <f>(365*H1351)/H1483</f>
        <v>8.4573437923601453</v>
      </c>
      <c r="I115" s="253">
        <f>(365*I1351)/I1483</f>
        <v>3.734486062737004</v>
      </c>
      <c r="J115" s="253">
        <f>(366*J1351)/J1483</f>
        <v>10.158345842161628</v>
      </c>
      <c r="K115" s="253">
        <f>(365*K1351)/K1483</f>
        <v>18.70703133469943</v>
      </c>
      <c r="L115" s="253"/>
      <c r="M115" s="253"/>
      <c r="N115" s="253"/>
      <c r="O115" s="253"/>
      <c r="P115" s="253"/>
      <c r="Q115" s="253"/>
      <c r="R115" s="347"/>
    </row>
    <row r="116" spans="1:18" s="357" customFormat="1" ht="16.350000000000001" customHeight="1" outlineLevel="1">
      <c r="A116" s="339"/>
      <c r="B116" s="350" t="s">
        <v>303</v>
      </c>
      <c r="C116" s="356"/>
      <c r="D116" s="253">
        <v>41.241689782108907</v>
      </c>
      <c r="E116" s="253">
        <v>37.006809819631684</v>
      </c>
      <c r="F116" s="253">
        <v>39</v>
      </c>
      <c r="G116" s="253">
        <v>41</v>
      </c>
      <c r="H116" s="253">
        <v>38</v>
      </c>
      <c r="I116" s="253">
        <v>39</v>
      </c>
      <c r="J116" s="356">
        <v>41</v>
      </c>
      <c r="K116" s="356">
        <v>40</v>
      </c>
      <c r="L116" s="356"/>
      <c r="M116" s="356"/>
      <c r="N116" s="356"/>
      <c r="O116" s="356"/>
      <c r="P116" s="356"/>
      <c r="Q116" s="356"/>
      <c r="R116" s="347"/>
    </row>
    <row r="117" spans="1:18" s="256" customFormat="1" ht="16.350000000000001" customHeight="1" outlineLevel="1">
      <c r="A117" s="339"/>
      <c r="B117" s="350" t="s">
        <v>304</v>
      </c>
      <c r="C117" s="253"/>
      <c r="D117" s="253">
        <v>66.97253954904636</v>
      </c>
      <c r="E117" s="253">
        <v>62.63830169473556</v>
      </c>
      <c r="F117" s="253">
        <v>58</v>
      </c>
      <c r="G117" s="253">
        <v>52</v>
      </c>
      <c r="H117" s="253">
        <v>46</v>
      </c>
      <c r="I117" s="253">
        <v>42</v>
      </c>
      <c r="J117" s="253">
        <v>38</v>
      </c>
      <c r="K117" s="253">
        <v>35</v>
      </c>
      <c r="L117" s="253"/>
      <c r="M117" s="253"/>
      <c r="N117" s="253"/>
      <c r="O117" s="253"/>
      <c r="P117" s="253"/>
      <c r="Q117" s="253"/>
      <c r="R117" s="347"/>
    </row>
    <row r="118" spans="1:18" s="256" customFormat="1" ht="16.350000000000001" customHeight="1" outlineLevel="1">
      <c r="A118" s="339"/>
      <c r="B118" s="358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347"/>
    </row>
    <row r="119" spans="1:18" s="343" customFormat="1" ht="16.350000000000001" customHeight="1" outlineLevel="1">
      <c r="A119" s="339"/>
      <c r="B119" s="340" t="s">
        <v>305</v>
      </c>
      <c r="C119" s="341"/>
      <c r="D119" s="341"/>
      <c r="E119" s="341"/>
      <c r="F119" s="341"/>
      <c r="G119" s="341"/>
      <c r="H119" s="341"/>
      <c r="I119" s="341"/>
      <c r="J119" s="341"/>
      <c r="K119" s="341"/>
      <c r="L119" s="342"/>
      <c r="M119" s="342"/>
      <c r="N119" s="342"/>
      <c r="O119" s="342"/>
      <c r="P119" s="342"/>
      <c r="Q119" s="342"/>
      <c r="R119" s="347"/>
    </row>
    <row r="120" spans="1:18" s="361" customFormat="1" ht="16.350000000000001" customHeight="1" outlineLevel="1">
      <c r="A120" s="339"/>
      <c r="B120" s="359" t="s">
        <v>306</v>
      </c>
      <c r="C120" s="360"/>
      <c r="D120" s="360">
        <f t="shared" ref="D120:K120" si="69">D55/D1497</f>
        <v>1.5325756817008263</v>
      </c>
      <c r="E120" s="360">
        <f t="shared" si="69"/>
        <v>1.1798119374151881</v>
      </c>
      <c r="F120" s="360">
        <f t="shared" si="69"/>
        <v>1.041184740651808</v>
      </c>
      <c r="G120" s="360">
        <f t="shared" si="69"/>
        <v>0.89898741111542091</v>
      </c>
      <c r="H120" s="360">
        <f t="shared" si="69"/>
        <v>0.87885352134741668</v>
      </c>
      <c r="I120" s="360">
        <f t="shared" si="69"/>
        <v>1.0423816051643755</v>
      </c>
      <c r="J120" s="360">
        <f t="shared" si="69"/>
        <v>1.0770000693545454</v>
      </c>
      <c r="K120" s="360">
        <f t="shared" si="69"/>
        <v>1.2568431889424267</v>
      </c>
      <c r="L120" s="360"/>
      <c r="M120" s="360"/>
      <c r="N120" s="360"/>
      <c r="O120" s="360"/>
      <c r="P120" s="360"/>
      <c r="Q120" s="360"/>
      <c r="R120" s="306"/>
    </row>
    <row r="121" spans="1:18" s="353" customFormat="1" ht="16.350000000000001" customHeight="1" outlineLevel="1">
      <c r="A121" s="339"/>
      <c r="B121" s="354" t="s">
        <v>307</v>
      </c>
      <c r="C121" s="352"/>
      <c r="D121" s="360">
        <f>D1360/D1477</f>
        <v>2.4144423836305058</v>
      </c>
      <c r="E121" s="360">
        <f>E1360/E1477</f>
        <v>2.0297344689752617</v>
      </c>
      <c r="F121" s="360">
        <f t="shared" ref="F121:K121" si="70">F1360/F1477</f>
        <v>2.3200862938680284</v>
      </c>
      <c r="G121" s="360">
        <f t="shared" si="70"/>
        <v>2.4475688158470739</v>
      </c>
      <c r="H121" s="360">
        <f t="shared" si="70"/>
        <v>2.3999822139144689</v>
      </c>
      <c r="I121" s="360">
        <f t="shared" si="70"/>
        <v>2.1256817665617342</v>
      </c>
      <c r="J121" s="360">
        <f t="shared" si="70"/>
        <v>2.2222670257605039</v>
      </c>
      <c r="K121" s="360">
        <f t="shared" si="70"/>
        <v>2.2317680050919115</v>
      </c>
      <c r="L121" s="352"/>
      <c r="M121" s="352"/>
      <c r="N121" s="352"/>
      <c r="O121" s="352"/>
      <c r="P121" s="352"/>
      <c r="Q121" s="352"/>
      <c r="R121" s="306"/>
    </row>
    <row r="122" spans="1:18" s="246" customFormat="1" ht="16.350000000000001" customHeight="1" outlineLevel="1">
      <c r="A122" s="339"/>
      <c r="B122" s="349" t="s">
        <v>308</v>
      </c>
      <c r="C122" s="243"/>
      <c r="D122" s="346">
        <f t="shared" ref="D122:K122" si="71">D57/D1358</f>
        <v>0.71964086832254925</v>
      </c>
      <c r="E122" s="346">
        <f t="shared" si="71"/>
        <v>0.66719728155054592</v>
      </c>
      <c r="F122" s="346">
        <f t="shared" si="71"/>
        <v>0.80310992370631384</v>
      </c>
      <c r="G122" s="346">
        <f t="shared" si="71"/>
        <v>0.79070909535591472</v>
      </c>
      <c r="H122" s="346">
        <f t="shared" si="71"/>
        <v>0.90466165182883496</v>
      </c>
      <c r="I122" s="346">
        <f t="shared" si="71"/>
        <v>1.0966603323820137</v>
      </c>
      <c r="J122" s="346">
        <f t="shared" si="71"/>
        <v>1.0956189133861534</v>
      </c>
      <c r="K122" s="346">
        <f t="shared" si="71"/>
        <v>1.0522809547680858</v>
      </c>
      <c r="L122" s="243"/>
      <c r="M122" s="243"/>
      <c r="N122" s="243"/>
      <c r="O122" s="243"/>
      <c r="P122" s="243"/>
      <c r="Q122" s="243"/>
      <c r="R122" s="306"/>
    </row>
    <row r="123" spans="1:18" s="246" customFormat="1" ht="16.350000000000001" customHeight="1" outlineLevel="1">
      <c r="A123" s="339"/>
      <c r="B123" s="349" t="s">
        <v>309</v>
      </c>
      <c r="C123" s="243"/>
      <c r="D123" s="346">
        <f t="shared" ref="D123:K123" si="72">D57/D54</f>
        <v>0.64970707696190411</v>
      </c>
      <c r="E123" s="346">
        <f t="shared" si="72"/>
        <v>0.4876838685680745</v>
      </c>
      <c r="F123" s="346">
        <f t="shared" si="72"/>
        <v>0.65079433500828099</v>
      </c>
      <c r="G123" s="346">
        <f t="shared" si="72"/>
        <v>0.63114890901810716</v>
      </c>
      <c r="H123" s="346">
        <f t="shared" si="72"/>
        <v>0.66596401070868538</v>
      </c>
      <c r="I123" s="346">
        <f t="shared" si="72"/>
        <v>0.58465450826430609</v>
      </c>
      <c r="J123" s="346">
        <f t="shared" si="72"/>
        <v>0.63844309116373166</v>
      </c>
      <c r="K123" s="346">
        <f t="shared" si="72"/>
        <v>0.65980374284198096</v>
      </c>
      <c r="L123" s="243"/>
      <c r="M123" s="243"/>
      <c r="N123" s="243"/>
      <c r="O123" s="243"/>
      <c r="P123" s="243"/>
      <c r="Q123" s="243"/>
      <c r="R123" s="306"/>
    </row>
    <row r="124" spans="1:18" s="353" customFormat="1" ht="16.350000000000001" customHeight="1" outlineLevel="1">
      <c r="A124" s="339"/>
      <c r="B124" s="362" t="s">
        <v>310</v>
      </c>
      <c r="C124" s="352"/>
      <c r="D124" s="352">
        <f>D1524/(D1529*-1)</f>
        <v>5.8462915139692795</v>
      </c>
      <c r="E124" s="352">
        <f>E1524/(E1529*-1)</f>
        <v>4.4632702570221383</v>
      </c>
      <c r="F124" s="352">
        <f t="shared" ref="F124:K124" si="73">F1524/(F1529*-1)</f>
        <v>6.080211754838297</v>
      </c>
      <c r="G124" s="352">
        <f t="shared" si="73"/>
        <v>7.1924555849852405</v>
      </c>
      <c r="H124" s="352">
        <f t="shared" si="73"/>
        <v>10.700364687774933</v>
      </c>
      <c r="I124" s="352">
        <f t="shared" si="73"/>
        <v>10.240169918542129</v>
      </c>
      <c r="J124" s="352">
        <f t="shared" si="73"/>
        <v>8.8757117022215706</v>
      </c>
      <c r="K124" s="352">
        <f t="shared" si="73"/>
        <v>5.7269845642162469</v>
      </c>
      <c r="L124" s="352"/>
      <c r="M124" s="352"/>
      <c r="N124" s="352"/>
      <c r="O124" s="352"/>
      <c r="P124" s="352"/>
      <c r="Q124" s="352"/>
      <c r="R124" s="306"/>
    </row>
    <row r="125" spans="1:18" s="353" customFormat="1" ht="16.350000000000001" customHeight="1" outlineLevel="1">
      <c r="A125" s="339"/>
      <c r="B125" s="354" t="s">
        <v>311</v>
      </c>
      <c r="C125" s="352"/>
      <c r="D125" s="352">
        <f>D1358/D1456</f>
        <v>0.97060924444673147</v>
      </c>
      <c r="E125" s="352">
        <f>E1358/E1456</f>
        <v>1.1991797662861572</v>
      </c>
      <c r="F125" s="352">
        <f t="shared" ref="F125:K125" si="74">F1358/F1456</f>
        <v>0.95882392811676542</v>
      </c>
      <c r="G125" s="352">
        <f t="shared" si="74"/>
        <v>0.79101173982558304</v>
      </c>
      <c r="H125" s="352">
        <f t="shared" si="74"/>
        <v>0.72390035122085994</v>
      </c>
      <c r="I125" s="352">
        <f t="shared" si="74"/>
        <v>0.69978862002336362</v>
      </c>
      <c r="J125" s="352">
        <f t="shared" si="74"/>
        <v>0.75210642013672924</v>
      </c>
      <c r="K125" s="352">
        <f t="shared" si="74"/>
        <v>1.0558323412824047</v>
      </c>
      <c r="L125" s="352"/>
      <c r="M125" s="352"/>
      <c r="N125" s="352"/>
      <c r="O125" s="352"/>
      <c r="P125" s="352"/>
      <c r="Q125" s="352"/>
      <c r="R125" s="306"/>
    </row>
    <row r="126" spans="1:18" s="353" customFormat="1" ht="16.350000000000001" customHeight="1" outlineLevel="1">
      <c r="A126" s="339"/>
      <c r="B126" s="354" t="s">
        <v>312</v>
      </c>
      <c r="C126" s="352"/>
      <c r="D126" s="352">
        <f>(D1358-D1338)/D1456</f>
        <v>0.17362909313529931</v>
      </c>
      <c r="E126" s="352">
        <f>(E1358-E1338)/E1456</f>
        <v>0.17294175235969669</v>
      </c>
      <c r="F126" s="352">
        <f t="shared" ref="F126:K126" si="75">(F1358-F1338)/F1456</f>
        <v>0.14467093057763505</v>
      </c>
      <c r="G126" s="352">
        <f t="shared" si="75"/>
        <v>9.2081265297146872E-2</v>
      </c>
      <c r="H126" s="352">
        <f t="shared" si="75"/>
        <v>0.16616063992061439</v>
      </c>
      <c r="I126" s="352">
        <f t="shared" si="75"/>
        <v>0.11615809716133527</v>
      </c>
      <c r="J126" s="352">
        <f t="shared" si="75"/>
        <v>0.21852117596318021</v>
      </c>
      <c r="K126" s="352">
        <f t="shared" si="75"/>
        <v>0.43133397278003816</v>
      </c>
      <c r="L126" s="352"/>
      <c r="M126" s="352"/>
      <c r="N126" s="352"/>
      <c r="O126" s="352"/>
      <c r="P126" s="352"/>
      <c r="Q126" s="352"/>
      <c r="R126" s="306"/>
    </row>
    <row r="127" spans="1:18" s="366" customFormat="1" ht="16.350000000000001" customHeight="1" outlineLevel="1">
      <c r="A127" s="339"/>
      <c r="B127" s="363"/>
      <c r="C127" s="364"/>
      <c r="D127" s="364"/>
      <c r="E127" s="364"/>
      <c r="F127" s="364"/>
      <c r="G127" s="364"/>
      <c r="H127" s="365"/>
      <c r="I127" s="365"/>
      <c r="J127" s="365"/>
      <c r="K127" s="365"/>
      <c r="L127" s="365"/>
      <c r="M127" s="365"/>
      <c r="N127" s="365"/>
      <c r="O127" s="365"/>
      <c r="P127" s="365"/>
      <c r="Q127" s="365"/>
      <c r="R127" s="306"/>
    </row>
    <row r="128" spans="1:18" s="142" customFormat="1" ht="16.350000000000001" customHeight="1">
      <c r="A128" s="1576" t="s">
        <v>313</v>
      </c>
      <c r="B128" s="1577"/>
      <c r="C128" s="367"/>
      <c r="D128" s="367"/>
      <c r="E128" s="367"/>
      <c r="F128" s="367"/>
      <c r="G128" s="367"/>
      <c r="H128" s="368"/>
      <c r="I128" s="368"/>
      <c r="J128" s="368"/>
      <c r="K128" s="368"/>
      <c r="L128" s="368"/>
      <c r="M128" s="368"/>
      <c r="N128" s="368"/>
      <c r="O128" s="368"/>
      <c r="P128" s="368"/>
      <c r="Q128" s="368"/>
      <c r="R128" s="369"/>
    </row>
    <row r="129" spans="1:18" s="187" customFormat="1" ht="16.350000000000001" customHeight="1" outlineLevel="1">
      <c r="A129" s="370"/>
      <c r="B129" s="371" t="s">
        <v>229</v>
      </c>
      <c r="C129" s="372">
        <v>14000566013.82</v>
      </c>
      <c r="D129" s="372"/>
      <c r="E129" s="372">
        <v>11926063462.68</v>
      </c>
      <c r="F129" s="372">
        <v>16999273935.030001</v>
      </c>
      <c r="G129" s="372">
        <v>14379929135.43</v>
      </c>
      <c r="H129" s="372">
        <v>0</v>
      </c>
      <c r="I129" s="372">
        <v>0</v>
      </c>
      <c r="J129" s="372">
        <v>0</v>
      </c>
      <c r="K129" s="372">
        <v>0</v>
      </c>
      <c r="L129" s="372">
        <v>0</v>
      </c>
      <c r="M129" s="372">
        <v>0</v>
      </c>
      <c r="N129" s="372"/>
      <c r="O129" s="372"/>
      <c r="P129" s="372"/>
      <c r="Q129" s="372"/>
      <c r="R129" s="373"/>
    </row>
    <row r="130" spans="1:18" s="187" customFormat="1" ht="16.350000000000001" customHeight="1" outlineLevel="1">
      <c r="A130" s="370"/>
      <c r="B130" s="371" t="s">
        <v>314</v>
      </c>
      <c r="C130" s="372"/>
      <c r="D130" s="372"/>
      <c r="E130" s="372">
        <v>0</v>
      </c>
      <c r="F130" s="372">
        <v>0</v>
      </c>
      <c r="G130" s="372">
        <v>0</v>
      </c>
      <c r="H130" s="372">
        <v>0</v>
      </c>
      <c r="I130" s="372">
        <v>0</v>
      </c>
      <c r="J130" s="372">
        <v>0</v>
      </c>
      <c r="K130" s="372">
        <v>1000079820.52</v>
      </c>
      <c r="L130" s="372">
        <v>895089234.38</v>
      </c>
      <c r="M130" s="372">
        <v>517788005.20000005</v>
      </c>
      <c r="N130" s="372"/>
      <c r="O130" s="372"/>
      <c r="P130" s="372"/>
      <c r="Q130" s="372"/>
      <c r="R130" s="186"/>
    </row>
    <row r="131" spans="1:18" s="187" customFormat="1" ht="16.350000000000001" customHeight="1" outlineLevel="1">
      <c r="A131" s="370"/>
      <c r="B131" s="371" t="s">
        <v>227</v>
      </c>
      <c r="C131" s="372"/>
      <c r="D131" s="372">
        <v>13808972885</v>
      </c>
      <c r="E131" s="372">
        <v>6374348381.5200005</v>
      </c>
      <c r="F131" s="372">
        <v>3999940409.6999998</v>
      </c>
      <c r="G131" s="372">
        <v>12535983454.23</v>
      </c>
      <c r="H131" s="372">
        <v>8430135348.3500004</v>
      </c>
      <c r="I131" s="372">
        <v>5202758929.6199999</v>
      </c>
      <c r="J131" s="372">
        <v>2216515324.96</v>
      </c>
      <c r="K131" s="372">
        <v>0</v>
      </c>
      <c r="L131" s="372">
        <v>0</v>
      </c>
      <c r="M131" s="372">
        <v>0</v>
      </c>
      <c r="N131" s="372"/>
      <c r="O131" s="372"/>
      <c r="P131" s="372"/>
      <c r="Q131" s="372"/>
      <c r="R131" s="186"/>
    </row>
    <row r="132" spans="1:18" s="187" customFormat="1" ht="16.350000000000001" customHeight="1" outlineLevel="1">
      <c r="A132" s="370"/>
      <c r="B132" s="371" t="s">
        <v>226</v>
      </c>
      <c r="C132" s="372"/>
      <c r="D132" s="372"/>
      <c r="E132" s="372">
        <v>10922768716.889999</v>
      </c>
      <c r="F132" s="372">
        <v>7999849771.1999998</v>
      </c>
      <c r="G132" s="372">
        <v>8359213527.6000004</v>
      </c>
      <c r="H132" s="372">
        <v>7404145796.6999998</v>
      </c>
      <c r="I132" s="372">
        <v>4355488181.1000004</v>
      </c>
      <c r="J132" s="372">
        <v>1999970099.0999999</v>
      </c>
      <c r="K132" s="372">
        <v>0</v>
      </c>
      <c r="L132" s="372">
        <v>0</v>
      </c>
      <c r="M132" s="372">
        <v>0</v>
      </c>
      <c r="N132" s="372"/>
      <c r="O132" s="372"/>
      <c r="P132" s="372"/>
      <c r="Q132" s="372"/>
      <c r="R132" s="186"/>
    </row>
    <row r="133" spans="1:18" s="148" customFormat="1" ht="16.350000000000001" customHeight="1" outlineLevel="1">
      <c r="A133" s="374"/>
      <c r="B133" s="232" t="s">
        <v>315</v>
      </c>
      <c r="C133" s="233">
        <f>C132+C131+C130+C129</f>
        <v>14000566013.82</v>
      </c>
      <c r="D133" s="233">
        <f>D132+D131+D130+D129</f>
        <v>13808972885</v>
      </c>
      <c r="E133" s="233">
        <f>E132+E131+E130+E129</f>
        <v>29223180561.09</v>
      </c>
      <c r="F133" s="233">
        <f t="shared" ref="F133:M133" si="76">F132+F131+F130+F129</f>
        <v>28999064115.93</v>
      </c>
      <c r="G133" s="233">
        <f t="shared" si="76"/>
        <v>35275126117.260002</v>
      </c>
      <c r="H133" s="233">
        <f t="shared" si="76"/>
        <v>15834281145.049999</v>
      </c>
      <c r="I133" s="233">
        <f t="shared" si="76"/>
        <v>9558247110.7200012</v>
      </c>
      <c r="J133" s="233">
        <f t="shared" si="76"/>
        <v>4216485424.0599999</v>
      </c>
      <c r="K133" s="233">
        <f t="shared" si="76"/>
        <v>1000079820.52</v>
      </c>
      <c r="L133" s="233">
        <f t="shared" si="76"/>
        <v>895089234.38</v>
      </c>
      <c r="M133" s="233">
        <f t="shared" si="76"/>
        <v>517788005.20000005</v>
      </c>
      <c r="N133" s="233"/>
      <c r="O133" s="233"/>
      <c r="P133" s="233"/>
      <c r="Q133" s="233"/>
      <c r="R133" s="375"/>
    </row>
    <row r="134" spans="1:18" s="357" customFormat="1" ht="16.350000000000001" customHeight="1" outlineLevel="1">
      <c r="A134" s="376"/>
      <c r="B134" s="377"/>
      <c r="C134" s="378"/>
      <c r="D134" s="378"/>
      <c r="E134" s="378"/>
      <c r="F134" s="378"/>
      <c r="G134" s="378"/>
      <c r="H134" s="378"/>
      <c r="I134" s="378"/>
      <c r="J134" s="378"/>
      <c r="K134" s="378"/>
      <c r="L134" s="378"/>
      <c r="M134" s="378"/>
      <c r="N134" s="379"/>
      <c r="O134" s="379"/>
      <c r="P134" s="379"/>
      <c r="Q134" s="379"/>
      <c r="R134" s="380"/>
    </row>
    <row r="135" spans="1:18" s="386" customFormat="1" ht="14.1" customHeight="1" outlineLevel="1">
      <c r="A135" s="381"/>
      <c r="B135" s="382" t="s">
        <v>316</v>
      </c>
      <c r="C135" s="243"/>
      <c r="D135" s="243">
        <f t="shared" ref="D135:M135" si="77">D42/D140</f>
        <v>3.8505213348345758E-2</v>
      </c>
      <c r="E135" s="243">
        <f t="shared" si="77"/>
        <v>4.5321791762971103E-2</v>
      </c>
      <c r="F135" s="243">
        <f t="shared" si="77"/>
        <v>2.8114163500510117E-2</v>
      </c>
      <c r="G135" s="243">
        <f t="shared" si="77"/>
        <v>3.3528631895308143E-2</v>
      </c>
      <c r="H135" s="383">
        <f t="shared" si="77"/>
        <v>1.6993080200360909E-2</v>
      </c>
      <c r="I135" s="383">
        <f t="shared" si="77"/>
        <v>1.0999134371345476E-2</v>
      </c>
      <c r="J135" s="383">
        <f t="shared" si="77"/>
        <v>9.2278601318206838E-3</v>
      </c>
      <c r="K135" s="383">
        <f t="shared" si="77"/>
        <v>3.8205291109812568E-3</v>
      </c>
      <c r="L135" s="383">
        <f t="shared" si="77"/>
        <v>2.4859946573355376E-3</v>
      </c>
      <c r="M135" s="383">
        <f t="shared" si="77"/>
        <v>2.7143569213575552E-3</v>
      </c>
      <c r="N135" s="384"/>
      <c r="O135" s="384"/>
      <c r="P135" s="384"/>
      <c r="Q135" s="384"/>
      <c r="R135" s="385"/>
    </row>
    <row r="136" spans="1:18" s="393" customFormat="1" ht="16.350000000000001" customHeight="1" outlineLevel="1">
      <c r="A136" s="387"/>
      <c r="B136" s="388" t="s">
        <v>317</v>
      </c>
      <c r="C136" s="389"/>
      <c r="D136" s="389">
        <f t="shared" ref="D136:M136" si="78">D133/D1573</f>
        <v>0.40777106109626698</v>
      </c>
      <c r="E136" s="389">
        <f t="shared" si="78"/>
        <v>0.8222854775059335</v>
      </c>
      <c r="F136" s="389">
        <f t="shared" si="78"/>
        <v>0.5329829130075443</v>
      </c>
      <c r="G136" s="389">
        <f t="shared" si="78"/>
        <v>0.59726395869470994</v>
      </c>
      <c r="H136" s="389">
        <f t="shared" si="78"/>
        <v>0.33205412375735655</v>
      </c>
      <c r="I136" s="389">
        <f t="shared" si="78"/>
        <v>0.26833650995308167</v>
      </c>
      <c r="J136" s="389">
        <f t="shared" si="78"/>
        <v>0.16787188295532932</v>
      </c>
      <c r="K136" s="389">
        <f t="shared" si="78"/>
        <v>8.1281959691429539E-2</v>
      </c>
      <c r="L136" s="389">
        <f t="shared" si="78"/>
        <v>8.8324439706867083E-2</v>
      </c>
      <c r="M136" s="390">
        <f t="shared" si="78"/>
        <v>5.9319732539482965E-2</v>
      </c>
      <c r="N136" s="390"/>
      <c r="O136" s="390"/>
      <c r="P136" s="391"/>
      <c r="Q136" s="391"/>
      <c r="R136" s="392"/>
    </row>
    <row r="137" spans="1:18" ht="14.1" customHeight="1" outlineLevel="1">
      <c r="A137" s="394"/>
      <c r="B137" s="395"/>
      <c r="D137" s="397"/>
      <c r="E137" s="397"/>
      <c r="F137" s="397"/>
      <c r="R137" s="401"/>
    </row>
    <row r="138" spans="1:18" s="142" customFormat="1" ht="16.350000000000001" customHeight="1">
      <c r="A138" s="1560" t="s">
        <v>318</v>
      </c>
      <c r="B138" s="1561"/>
      <c r="C138" s="403"/>
      <c r="D138" s="403"/>
      <c r="E138" s="403"/>
      <c r="F138" s="403"/>
      <c r="G138" s="403"/>
      <c r="H138" s="404"/>
      <c r="I138" s="404"/>
      <c r="J138" s="404"/>
      <c r="K138" s="404"/>
      <c r="L138" s="404"/>
      <c r="M138" s="404"/>
      <c r="N138" s="404"/>
      <c r="O138" s="404"/>
      <c r="P138" s="404"/>
      <c r="Q138" s="404"/>
      <c r="R138" s="405"/>
    </row>
    <row r="139" spans="1:18" s="410" customFormat="1" ht="14.1" customHeight="1" outlineLevel="1">
      <c r="A139" s="406"/>
      <c r="B139" s="407" t="s">
        <v>319</v>
      </c>
      <c r="C139" s="408"/>
      <c r="D139" s="408">
        <f t="shared" ref="D139:P139" si="79">D147*D140</f>
        <v>358626058245</v>
      </c>
      <c r="E139" s="408">
        <f t="shared" si="79"/>
        <v>644793143085</v>
      </c>
      <c r="F139" s="408">
        <f t="shared" si="79"/>
        <v>1031475260340</v>
      </c>
      <c r="G139" s="408">
        <f t="shared" si="79"/>
        <v>1052089635730</v>
      </c>
      <c r="H139" s="408">
        <f t="shared" si="79"/>
        <v>931807592170</v>
      </c>
      <c r="I139" s="408">
        <f t="shared" si="79"/>
        <v>868999940178.99988</v>
      </c>
      <c r="J139" s="408">
        <f t="shared" si="79"/>
        <v>456929923495.50006</v>
      </c>
      <c r="K139" s="408">
        <f t="shared" si="79"/>
        <v>261764742910.99997</v>
      </c>
      <c r="L139" s="408">
        <f t="shared" si="79"/>
        <v>360052758656.91003</v>
      </c>
      <c r="M139" s="408">
        <f t="shared" si="79"/>
        <v>190758997509.08005</v>
      </c>
      <c r="N139" s="408">
        <f t="shared" si="79"/>
        <v>39365207700.800003</v>
      </c>
      <c r="O139" s="408">
        <f t="shared" si="79"/>
        <v>91476000000</v>
      </c>
      <c r="P139" s="408">
        <f t="shared" si="79"/>
        <v>68169600000</v>
      </c>
      <c r="Q139" s="408"/>
      <c r="R139" s="409"/>
    </row>
    <row r="140" spans="1:18" s="290" customFormat="1" ht="14.1" customHeight="1" outlineLevel="1">
      <c r="A140" s="406"/>
      <c r="B140" s="411" t="s">
        <v>320</v>
      </c>
      <c r="C140" s="412"/>
      <c r="D140" s="412">
        <v>3519</v>
      </c>
      <c r="E140" s="412">
        <v>6327</v>
      </c>
      <c r="F140" s="412">
        <v>10908</v>
      </c>
      <c r="G140" s="412">
        <v>11126</v>
      </c>
      <c r="H140" s="412">
        <v>9854</v>
      </c>
      <c r="I140" s="412">
        <v>9189.7999999999993</v>
      </c>
      <c r="J140" s="412">
        <v>4832.1000000000004</v>
      </c>
      <c r="K140" s="412">
        <v>2768.2</v>
      </c>
      <c r="L140" s="412">
        <v>4046.6700000000005</v>
      </c>
      <c r="M140" s="412">
        <v>2143.9600000000005</v>
      </c>
      <c r="N140" s="412">
        <v>472.88000000000005</v>
      </c>
      <c r="O140" s="412">
        <v>1270.5</v>
      </c>
      <c r="P140" s="412">
        <v>946.8</v>
      </c>
      <c r="Q140" s="412"/>
      <c r="R140" s="413"/>
    </row>
    <row r="141" spans="1:18" s="290" customFormat="1" ht="14.1" customHeight="1" outlineLevel="1">
      <c r="A141" s="406"/>
      <c r="B141" s="411"/>
      <c r="C141" s="412"/>
      <c r="D141" s="412"/>
      <c r="E141" s="412"/>
      <c r="F141" s="412"/>
      <c r="G141" s="412"/>
      <c r="H141" s="412"/>
      <c r="I141" s="412"/>
      <c r="J141" s="412"/>
      <c r="K141" s="412"/>
      <c r="L141" s="412"/>
      <c r="M141" s="412"/>
      <c r="N141" s="412"/>
      <c r="O141" s="412"/>
      <c r="P141" s="412"/>
      <c r="Q141" s="412"/>
      <c r="R141" s="413"/>
    </row>
    <row r="142" spans="1:18" s="290" customFormat="1" ht="14.1" customHeight="1" outlineLevel="1">
      <c r="A142" s="406"/>
      <c r="B142" s="411" t="s">
        <v>321</v>
      </c>
      <c r="C142" s="414"/>
      <c r="D142" s="414">
        <v>12.73</v>
      </c>
      <c r="E142" s="414">
        <v>27.35</v>
      </c>
      <c r="F142" s="414">
        <v>44.15</v>
      </c>
      <c r="G142" s="414">
        <v>40.22</v>
      </c>
      <c r="H142" s="414">
        <v>45.4</v>
      </c>
      <c r="I142" s="414">
        <v>65.2</v>
      </c>
      <c r="J142" s="414">
        <v>40.1</v>
      </c>
      <c r="K142" s="414">
        <v>21.16</v>
      </c>
      <c r="L142" s="414">
        <v>29.107099999999999</v>
      </c>
      <c r="M142" s="414">
        <v>15.85</v>
      </c>
      <c r="N142" s="414"/>
      <c r="O142" s="414"/>
      <c r="P142" s="414"/>
      <c r="Q142" s="414"/>
      <c r="R142" s="413"/>
    </row>
    <row r="143" spans="1:18" s="419" customFormat="1" ht="14.1" customHeight="1" outlineLevel="1">
      <c r="A143" s="415"/>
      <c r="B143" s="416" t="s">
        <v>322</v>
      </c>
      <c r="C143" s="417"/>
      <c r="D143" s="417">
        <f t="shared" ref="D143:M143" si="80">(D142*5)*D692</f>
        <v>4421.8036900000006</v>
      </c>
      <c r="E143" s="417">
        <f t="shared" si="80"/>
        <v>7876.8273500000005</v>
      </c>
      <c r="F143" s="417">
        <f t="shared" si="80"/>
        <v>13390.010675</v>
      </c>
      <c r="G143" s="417">
        <f t="shared" si="80"/>
        <v>14656.71097</v>
      </c>
      <c r="H143" s="417">
        <f t="shared" si="80"/>
        <v>12770.656800000001</v>
      </c>
      <c r="I143" s="417">
        <f t="shared" si="80"/>
        <v>10669.7192</v>
      </c>
      <c r="J143" s="417">
        <f t="shared" si="80"/>
        <v>6089.7263499999999</v>
      </c>
      <c r="K143" s="417">
        <f t="shared" si="80"/>
        <v>3406.3473800000002</v>
      </c>
      <c r="L143" s="417">
        <f t="shared" si="80"/>
        <v>4435.4708799499995</v>
      </c>
      <c r="M143" s="417">
        <f t="shared" si="80"/>
        <v>2396.8528499999998</v>
      </c>
      <c r="N143" s="417"/>
      <c r="O143" s="417"/>
      <c r="P143" s="417"/>
      <c r="Q143" s="417"/>
      <c r="R143" s="418"/>
    </row>
    <row r="144" spans="1:18" s="424" customFormat="1" ht="14.1" customHeight="1" outlineLevel="1">
      <c r="A144" s="420"/>
      <c r="B144" s="421" t="s">
        <v>323</v>
      </c>
      <c r="C144" s="422"/>
      <c r="D144" s="422">
        <f t="shared" ref="D144:M144" si="81">(D143-D140)/D140</f>
        <v>0.2565512048877524</v>
      </c>
      <c r="E144" s="422">
        <f t="shared" si="81"/>
        <v>0.24495453611506252</v>
      </c>
      <c r="F144" s="422">
        <f t="shared" si="81"/>
        <v>0.22754039924825811</v>
      </c>
      <c r="G144" s="422">
        <f t="shared" si="81"/>
        <v>0.31733875337048356</v>
      </c>
      <c r="H144" s="422">
        <f t="shared" si="81"/>
        <v>0.29598709153643199</v>
      </c>
      <c r="I144" s="422">
        <f t="shared" si="81"/>
        <v>0.16103932620949318</v>
      </c>
      <c r="J144" s="422">
        <f t="shared" si="81"/>
        <v>0.26026496761242512</v>
      </c>
      <c r="K144" s="422">
        <f t="shared" si="81"/>
        <v>0.23052791705801617</v>
      </c>
      <c r="L144" s="422">
        <f t="shared" si="81"/>
        <v>9.6079215737878032E-2</v>
      </c>
      <c r="M144" s="422">
        <f t="shared" si="81"/>
        <v>0.11795595533498722</v>
      </c>
      <c r="N144" s="422"/>
      <c r="O144" s="422"/>
      <c r="P144" s="422"/>
      <c r="Q144" s="422"/>
      <c r="R144" s="423"/>
    </row>
    <row r="145" spans="1:18" ht="14.1" customHeight="1" outlineLevel="1">
      <c r="A145" s="394"/>
      <c r="B145" s="395"/>
      <c r="D145" s="425"/>
      <c r="E145" s="425"/>
      <c r="F145" s="425"/>
      <c r="R145" s="401"/>
    </row>
    <row r="146" spans="1:18" s="142" customFormat="1" ht="16.350000000000001" customHeight="1">
      <c r="A146" s="1568" t="s">
        <v>324</v>
      </c>
      <c r="B146" s="1569"/>
      <c r="C146" s="426"/>
      <c r="D146" s="426"/>
      <c r="E146" s="426"/>
      <c r="F146" s="426"/>
      <c r="G146" s="426"/>
      <c r="H146" s="427"/>
      <c r="I146" s="427"/>
      <c r="J146" s="427"/>
      <c r="K146" s="427"/>
      <c r="L146" s="427"/>
      <c r="M146" s="427"/>
      <c r="N146" s="427"/>
      <c r="O146" s="427"/>
      <c r="P146" s="427"/>
      <c r="Q146" s="427"/>
      <c r="R146" s="428"/>
    </row>
    <row r="147" spans="1:18" s="148" customFormat="1" ht="16.350000000000001" customHeight="1" outlineLevel="1">
      <c r="A147" s="429"/>
      <c r="B147" s="232" t="s">
        <v>325</v>
      </c>
      <c r="C147" s="233">
        <v>101911355</v>
      </c>
      <c r="D147" s="233">
        <f>D148+D149+D150+D151+D152</f>
        <v>101911355</v>
      </c>
      <c r="E147" s="233">
        <f t="shared" ref="E147:P147" si="82">E148+E149+E150+E151+E152</f>
        <v>101911355</v>
      </c>
      <c r="F147" s="233">
        <f t="shared" si="82"/>
        <v>94561355</v>
      </c>
      <c r="G147" s="233">
        <f t="shared" si="82"/>
        <v>94561355</v>
      </c>
      <c r="H147" s="233">
        <f t="shared" si="82"/>
        <v>94561355</v>
      </c>
      <c r="I147" s="233">
        <f t="shared" si="82"/>
        <v>94561355</v>
      </c>
      <c r="J147" s="233">
        <f t="shared" si="82"/>
        <v>94561355</v>
      </c>
      <c r="K147" s="233">
        <f t="shared" si="82"/>
        <v>94561355</v>
      </c>
      <c r="L147" s="233">
        <f t="shared" si="82"/>
        <v>88975073</v>
      </c>
      <c r="M147" s="233">
        <f t="shared" si="82"/>
        <v>88975073</v>
      </c>
      <c r="N147" s="233">
        <f t="shared" si="82"/>
        <v>83245660</v>
      </c>
      <c r="O147" s="233">
        <f t="shared" si="82"/>
        <v>72000000</v>
      </c>
      <c r="P147" s="233">
        <f t="shared" si="82"/>
        <v>72000000</v>
      </c>
      <c r="Q147" s="233"/>
      <c r="R147" s="375"/>
    </row>
    <row r="148" spans="1:18" s="435" customFormat="1" ht="14.1" customHeight="1" outlineLevel="1">
      <c r="A148" s="430"/>
      <c r="B148" s="431" t="s">
        <v>326</v>
      </c>
      <c r="C148" s="432"/>
      <c r="D148" s="432">
        <v>7350000</v>
      </c>
      <c r="E148" s="432">
        <v>7350000</v>
      </c>
      <c r="F148" s="432"/>
      <c r="G148" s="432"/>
      <c r="H148" s="433"/>
      <c r="I148" s="433"/>
      <c r="J148" s="433"/>
      <c r="K148" s="433"/>
      <c r="L148" s="433"/>
      <c r="M148" s="433"/>
      <c r="N148" s="433"/>
      <c r="O148" s="433"/>
      <c r="P148" s="433"/>
      <c r="Q148" s="433"/>
      <c r="R148" s="434"/>
    </row>
    <row r="149" spans="1:18" s="440" customFormat="1" ht="14.1" customHeight="1" outlineLevel="1">
      <c r="A149" s="436"/>
      <c r="B149" s="431" t="s">
        <v>327</v>
      </c>
      <c r="C149" s="437"/>
      <c r="D149" s="437">
        <v>5586282</v>
      </c>
      <c r="E149" s="437">
        <v>5586282</v>
      </c>
      <c r="F149" s="437">
        <v>5586282</v>
      </c>
      <c r="G149" s="437">
        <v>5586282</v>
      </c>
      <c r="H149" s="438">
        <v>5586282</v>
      </c>
      <c r="I149" s="438">
        <v>5586282</v>
      </c>
      <c r="J149" s="438">
        <v>5586282</v>
      </c>
      <c r="K149" s="438">
        <v>5586282</v>
      </c>
      <c r="L149" s="438"/>
      <c r="M149" s="438"/>
      <c r="N149" s="438"/>
      <c r="O149" s="438"/>
      <c r="P149" s="438"/>
      <c r="Q149" s="438"/>
      <c r="R149" s="439"/>
    </row>
    <row r="150" spans="1:18" s="440" customFormat="1" ht="14.1" customHeight="1" outlineLevel="1">
      <c r="A150" s="436"/>
      <c r="B150" s="431" t="s">
        <v>328</v>
      </c>
      <c r="C150" s="437"/>
      <c r="D150" s="437">
        <v>5729413</v>
      </c>
      <c r="E150" s="437">
        <v>5729413</v>
      </c>
      <c r="F150" s="437">
        <v>5729413</v>
      </c>
      <c r="G150" s="437">
        <v>5729413</v>
      </c>
      <c r="H150" s="438">
        <v>5729413</v>
      </c>
      <c r="I150" s="438">
        <v>5729413</v>
      </c>
      <c r="J150" s="438">
        <v>5729413</v>
      </c>
      <c r="K150" s="438">
        <v>5729413</v>
      </c>
      <c r="L150" s="438">
        <v>5729413</v>
      </c>
      <c r="M150" s="438">
        <v>5729413</v>
      </c>
      <c r="N150" s="438"/>
      <c r="O150" s="438"/>
      <c r="P150" s="438"/>
      <c r="Q150" s="438"/>
      <c r="R150" s="439"/>
    </row>
    <row r="151" spans="1:18" s="440" customFormat="1" ht="14.1" customHeight="1" outlineLevel="1">
      <c r="A151" s="436"/>
      <c r="B151" s="431" t="s">
        <v>329</v>
      </c>
      <c r="C151" s="437"/>
      <c r="D151" s="437">
        <v>11245660</v>
      </c>
      <c r="E151" s="437">
        <v>11245660</v>
      </c>
      <c r="F151" s="437">
        <v>11245660</v>
      </c>
      <c r="G151" s="437">
        <v>11245660</v>
      </c>
      <c r="H151" s="438">
        <v>11245660</v>
      </c>
      <c r="I151" s="438">
        <v>11245660</v>
      </c>
      <c r="J151" s="438">
        <v>11245660</v>
      </c>
      <c r="K151" s="438">
        <v>11245660</v>
      </c>
      <c r="L151" s="438">
        <v>11245660</v>
      </c>
      <c r="M151" s="438">
        <v>11245660</v>
      </c>
      <c r="N151" s="438">
        <v>11245660</v>
      </c>
      <c r="O151" s="438"/>
      <c r="P151" s="438"/>
      <c r="Q151" s="438"/>
      <c r="R151" s="439"/>
    </row>
    <row r="152" spans="1:18" s="440" customFormat="1" ht="14.1" customHeight="1" outlineLevel="1">
      <c r="A152" s="436"/>
      <c r="B152" s="431" t="s">
        <v>330</v>
      </c>
      <c r="C152" s="438"/>
      <c r="D152" s="438">
        <v>72000000</v>
      </c>
      <c r="E152" s="438">
        <v>72000000</v>
      </c>
      <c r="F152" s="438">
        <v>72000000</v>
      </c>
      <c r="G152" s="438">
        <v>72000000</v>
      </c>
      <c r="H152" s="438">
        <v>72000000</v>
      </c>
      <c r="I152" s="438">
        <v>72000000</v>
      </c>
      <c r="J152" s="438">
        <v>72000000</v>
      </c>
      <c r="K152" s="438">
        <v>72000000</v>
      </c>
      <c r="L152" s="438">
        <v>72000000</v>
      </c>
      <c r="M152" s="438">
        <v>72000000</v>
      </c>
      <c r="N152" s="438">
        <v>72000000</v>
      </c>
      <c r="O152" s="438">
        <v>72000000</v>
      </c>
      <c r="P152" s="438">
        <v>72000000</v>
      </c>
      <c r="Q152" s="438"/>
      <c r="R152" s="439"/>
    </row>
    <row r="153" spans="1:18" s="419" customFormat="1" ht="14.1" customHeight="1" outlineLevel="1">
      <c r="A153" s="415"/>
      <c r="B153" s="441"/>
      <c r="C153" s="442"/>
      <c r="D153" s="442"/>
      <c r="E153" s="442"/>
      <c r="F153" s="442"/>
      <c r="G153" s="442"/>
      <c r="H153" s="442"/>
      <c r="I153" s="442"/>
      <c r="J153" s="442"/>
      <c r="K153" s="442"/>
      <c r="L153" s="442"/>
      <c r="M153" s="442"/>
      <c r="N153" s="442"/>
      <c r="O153" s="442"/>
      <c r="P153" s="442"/>
      <c r="Q153" s="442"/>
      <c r="R153" s="418"/>
    </row>
    <row r="154" spans="1:18" s="142" customFormat="1" ht="16.350000000000001" customHeight="1">
      <c r="A154" s="1556" t="s">
        <v>95</v>
      </c>
      <c r="B154" s="1557"/>
      <c r="C154" s="443"/>
      <c r="D154" s="443"/>
      <c r="E154" s="443"/>
      <c r="F154" s="443"/>
      <c r="G154" s="443"/>
      <c r="H154" s="444"/>
      <c r="I154" s="444"/>
      <c r="J154" s="444"/>
      <c r="K154" s="444"/>
      <c r="L154" s="444"/>
      <c r="M154" s="444"/>
      <c r="N154" s="444"/>
      <c r="O154" s="444"/>
      <c r="P154" s="444"/>
      <c r="Q154" s="444"/>
      <c r="R154" s="445"/>
    </row>
    <row r="155" spans="1:18" s="148" customFormat="1" ht="16.350000000000001" customHeight="1" outlineLevel="1">
      <c r="A155" s="446"/>
      <c r="B155" s="232" t="s">
        <v>331</v>
      </c>
      <c r="C155" s="233"/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447"/>
    </row>
    <row r="156" spans="1:18" s="450" customFormat="1" ht="14.1" customHeight="1" outlineLevel="1">
      <c r="A156" s="406"/>
      <c r="B156" s="448" t="s">
        <v>332</v>
      </c>
      <c r="C156" s="184"/>
      <c r="D156" s="184"/>
      <c r="E156" s="184">
        <v>0</v>
      </c>
      <c r="F156" s="184"/>
      <c r="G156" s="184"/>
      <c r="H156" s="184"/>
      <c r="I156" s="184"/>
      <c r="J156" s="184"/>
      <c r="K156" s="184"/>
      <c r="L156" s="184"/>
      <c r="M156" s="449"/>
      <c r="N156" s="449"/>
      <c r="O156" s="449"/>
      <c r="P156" s="449"/>
      <c r="Q156" s="449"/>
      <c r="R156" s="413"/>
    </row>
    <row r="157" spans="1:18" s="450" customFormat="1" ht="14.1" customHeight="1" outlineLevel="1">
      <c r="A157" s="446"/>
      <c r="B157" s="451" t="s">
        <v>333</v>
      </c>
      <c r="C157" s="452"/>
      <c r="D157" s="453"/>
      <c r="E157" s="453">
        <v>-10000000000</v>
      </c>
      <c r="F157" s="453">
        <v>10000000000</v>
      </c>
      <c r="G157" s="454"/>
      <c r="H157" s="455"/>
      <c r="I157" s="454"/>
      <c r="J157" s="454"/>
      <c r="K157" s="455"/>
      <c r="L157" s="456"/>
      <c r="M157" s="456"/>
      <c r="N157" s="456"/>
      <c r="O157" s="456"/>
      <c r="P157" s="457"/>
      <c r="Q157" s="457"/>
      <c r="R157" s="458"/>
    </row>
    <row r="158" spans="1:18" s="450" customFormat="1" ht="14.1" customHeight="1" outlineLevel="2">
      <c r="A158" s="446"/>
      <c r="B158" s="459" t="s">
        <v>334</v>
      </c>
      <c r="C158" s="460"/>
      <c r="D158" s="460"/>
      <c r="E158" s="460"/>
      <c r="F158" s="460"/>
      <c r="G158" s="454"/>
      <c r="H158" s="455"/>
      <c r="I158" s="454"/>
      <c r="J158" s="454"/>
      <c r="K158" s="455"/>
      <c r="L158" s="456"/>
      <c r="M158" s="456"/>
      <c r="N158" s="456"/>
      <c r="O158" s="456"/>
      <c r="P158" s="457"/>
      <c r="Q158" s="457"/>
      <c r="R158" s="458"/>
    </row>
    <row r="159" spans="1:18" s="450" customFormat="1" ht="14.1" customHeight="1" outlineLevel="2">
      <c r="A159" s="446"/>
      <c r="B159" s="459" t="s">
        <v>335</v>
      </c>
      <c r="C159" s="461"/>
      <c r="D159" s="461"/>
      <c r="E159" s="461"/>
      <c r="F159" s="461"/>
      <c r="G159" s="454"/>
      <c r="H159" s="455"/>
      <c r="I159" s="454"/>
      <c r="J159" s="454"/>
      <c r="K159" s="455"/>
      <c r="L159" s="456"/>
      <c r="M159" s="456"/>
      <c r="N159" s="456"/>
      <c r="O159" s="456"/>
      <c r="P159" s="457"/>
      <c r="Q159" s="457"/>
      <c r="R159" s="458"/>
    </row>
    <row r="160" spans="1:18" s="450" customFormat="1" ht="14.1" customHeight="1" outlineLevel="2">
      <c r="A160" s="446"/>
      <c r="B160" s="459" t="s">
        <v>336</v>
      </c>
      <c r="C160" s="462"/>
      <c r="D160" s="462"/>
      <c r="E160" s="462"/>
      <c r="F160" s="462"/>
      <c r="G160" s="454"/>
      <c r="H160" s="455"/>
      <c r="I160" s="454"/>
      <c r="J160" s="454"/>
      <c r="K160" s="455"/>
      <c r="L160" s="456"/>
      <c r="M160" s="456"/>
      <c r="N160" s="456"/>
      <c r="O160" s="456"/>
      <c r="P160" s="457"/>
      <c r="Q160" s="457"/>
      <c r="R160" s="458"/>
    </row>
    <row r="161" spans="1:18" s="450" customFormat="1" ht="14.1" customHeight="1" outlineLevel="2">
      <c r="A161" s="446"/>
      <c r="B161" s="459" t="s">
        <v>337</v>
      </c>
      <c r="C161" s="463"/>
      <c r="D161" s="463"/>
      <c r="E161" s="463"/>
      <c r="F161" s="463"/>
      <c r="G161" s="454"/>
      <c r="H161" s="455"/>
      <c r="I161" s="454"/>
      <c r="J161" s="454"/>
      <c r="K161" s="455"/>
      <c r="L161" s="456"/>
      <c r="M161" s="456"/>
      <c r="N161" s="456"/>
      <c r="O161" s="456"/>
      <c r="P161" s="457"/>
      <c r="Q161" s="457"/>
      <c r="R161" s="458"/>
    </row>
    <row r="162" spans="1:18" s="450" customFormat="1" ht="14.1" customHeight="1" outlineLevel="2">
      <c r="A162" s="446"/>
      <c r="B162" s="459" t="s">
        <v>338</v>
      </c>
      <c r="C162" s="454"/>
      <c r="D162" s="454"/>
      <c r="E162" s="454"/>
      <c r="F162" s="454"/>
      <c r="G162" s="454"/>
      <c r="H162" s="455"/>
      <c r="I162" s="454"/>
      <c r="J162" s="454"/>
      <c r="K162" s="455"/>
      <c r="L162" s="456"/>
      <c r="M162" s="456"/>
      <c r="N162" s="456"/>
      <c r="O162" s="456"/>
      <c r="P162" s="457"/>
      <c r="Q162" s="457"/>
      <c r="R162" s="458"/>
    </row>
    <row r="163" spans="1:18" s="450" customFormat="1" ht="14.1" customHeight="1" outlineLevel="2">
      <c r="A163" s="446"/>
      <c r="B163" s="459" t="s">
        <v>339</v>
      </c>
      <c r="C163" s="218"/>
      <c r="D163" s="218"/>
      <c r="E163" s="218"/>
      <c r="F163" s="218"/>
      <c r="G163" s="454"/>
      <c r="H163" s="455"/>
      <c r="I163" s="454"/>
      <c r="J163" s="454"/>
      <c r="K163" s="455"/>
      <c r="L163" s="456"/>
      <c r="M163" s="456"/>
      <c r="N163" s="456"/>
      <c r="O163" s="456"/>
      <c r="P163" s="457"/>
      <c r="Q163" s="457"/>
      <c r="R163" s="458"/>
    </row>
    <row r="164" spans="1:18" s="450" customFormat="1" ht="14.1" customHeight="1" outlineLevel="2">
      <c r="A164" s="446"/>
      <c r="B164" s="459" t="s">
        <v>340</v>
      </c>
      <c r="C164" s="218"/>
      <c r="D164" s="218"/>
      <c r="E164" s="218"/>
      <c r="F164" s="218"/>
      <c r="G164" s="454"/>
      <c r="H164" s="455"/>
      <c r="I164" s="454"/>
      <c r="J164" s="454"/>
      <c r="K164" s="455"/>
      <c r="L164" s="456"/>
      <c r="M164" s="456"/>
      <c r="N164" s="456"/>
      <c r="O164" s="456"/>
      <c r="P164" s="457"/>
      <c r="Q164" s="457"/>
      <c r="R164" s="458"/>
    </row>
    <row r="165" spans="1:18" s="450" customFormat="1" ht="14.1" customHeight="1" outlineLevel="2">
      <c r="A165" s="446"/>
      <c r="B165" s="464" t="s">
        <v>341</v>
      </c>
      <c r="C165" s="461"/>
      <c r="D165" s="461"/>
      <c r="E165" s="461"/>
      <c r="F165" s="461"/>
      <c r="G165" s="454"/>
      <c r="H165" s="455"/>
      <c r="I165" s="454"/>
      <c r="J165" s="454"/>
      <c r="K165" s="455"/>
      <c r="L165" s="456"/>
      <c r="M165" s="456"/>
      <c r="N165" s="456"/>
      <c r="O165" s="456"/>
      <c r="P165" s="457"/>
      <c r="Q165" s="457"/>
      <c r="R165" s="458"/>
    </row>
    <row r="166" spans="1:18" s="450" customFormat="1" ht="14.1" customHeight="1" outlineLevel="2">
      <c r="A166" s="446"/>
      <c r="B166" s="464" t="s">
        <v>342</v>
      </c>
      <c r="C166" s="461"/>
      <c r="D166" s="461"/>
      <c r="E166" s="461"/>
      <c r="F166" s="461"/>
      <c r="G166" s="454"/>
      <c r="H166" s="455"/>
      <c r="I166" s="454"/>
      <c r="J166" s="454"/>
      <c r="K166" s="455"/>
      <c r="L166" s="456"/>
      <c r="M166" s="456"/>
      <c r="N166" s="456"/>
      <c r="O166" s="456"/>
      <c r="P166" s="457"/>
      <c r="Q166" s="457"/>
      <c r="R166" s="458"/>
    </row>
    <row r="167" spans="1:18" s="450" customFormat="1" ht="14.1" customHeight="1" outlineLevel="2">
      <c r="A167" s="446"/>
      <c r="B167" s="459" t="s">
        <v>343</v>
      </c>
      <c r="C167" s="465"/>
      <c r="D167" s="465"/>
      <c r="E167" s="465"/>
      <c r="F167" s="465"/>
      <c r="G167" s="454"/>
      <c r="H167" s="455"/>
      <c r="I167" s="454"/>
      <c r="J167" s="454"/>
      <c r="K167" s="455"/>
      <c r="L167" s="456"/>
      <c r="M167" s="456"/>
      <c r="N167" s="456"/>
      <c r="O167" s="456"/>
      <c r="P167" s="457"/>
      <c r="Q167" s="457"/>
      <c r="R167" s="458"/>
    </row>
    <row r="168" spans="1:18" s="450" customFormat="1" ht="14.1" customHeight="1" outlineLevel="2">
      <c r="A168" s="446"/>
      <c r="B168" s="459" t="s">
        <v>344</v>
      </c>
      <c r="C168" s="465"/>
      <c r="D168" s="465"/>
      <c r="E168" s="465"/>
      <c r="F168" s="465"/>
      <c r="G168" s="454"/>
      <c r="H168" s="455"/>
      <c r="I168" s="454"/>
      <c r="J168" s="454"/>
      <c r="K168" s="455"/>
      <c r="L168" s="456"/>
      <c r="M168" s="456"/>
      <c r="N168" s="456"/>
      <c r="O168" s="456"/>
      <c r="P168" s="457"/>
      <c r="Q168" s="457"/>
      <c r="R168" s="458"/>
    </row>
    <row r="169" spans="1:18" s="450" customFormat="1" ht="14.1" customHeight="1" outlineLevel="2">
      <c r="A169" s="446"/>
      <c r="B169" s="459" t="s">
        <v>345</v>
      </c>
      <c r="C169" s="465"/>
      <c r="D169" s="465"/>
      <c r="E169" s="465"/>
      <c r="F169" s="465"/>
      <c r="G169" s="454"/>
      <c r="H169" s="455"/>
      <c r="I169" s="454"/>
      <c r="J169" s="454"/>
      <c r="K169" s="455"/>
      <c r="L169" s="456"/>
      <c r="M169" s="456"/>
      <c r="N169" s="456"/>
      <c r="O169" s="456"/>
      <c r="P169" s="457"/>
      <c r="Q169" s="457"/>
      <c r="R169" s="458"/>
    </row>
    <row r="170" spans="1:18" s="450" customFormat="1" ht="14.1" customHeight="1" outlineLevel="2">
      <c r="A170" s="446"/>
      <c r="B170" s="459" t="s">
        <v>346</v>
      </c>
      <c r="C170" s="465"/>
      <c r="D170" s="465"/>
      <c r="E170" s="465"/>
      <c r="F170" s="465"/>
      <c r="G170" s="454"/>
      <c r="H170" s="455"/>
      <c r="I170" s="454"/>
      <c r="J170" s="454"/>
      <c r="K170" s="455"/>
      <c r="L170" s="456"/>
      <c r="M170" s="456"/>
      <c r="N170" s="456"/>
      <c r="O170" s="456"/>
      <c r="P170" s="457"/>
      <c r="Q170" s="457"/>
      <c r="R170" s="458"/>
    </row>
    <row r="171" spans="1:18" s="450" customFormat="1" ht="14.1" customHeight="1" outlineLevel="2">
      <c r="A171" s="446"/>
      <c r="B171" s="459" t="s">
        <v>347</v>
      </c>
      <c r="C171" s="465"/>
      <c r="D171" s="465"/>
      <c r="E171" s="465"/>
      <c r="F171" s="465"/>
      <c r="G171" s="454"/>
      <c r="H171" s="455"/>
      <c r="I171" s="454"/>
      <c r="J171" s="454"/>
      <c r="K171" s="455"/>
      <c r="L171" s="456"/>
      <c r="M171" s="456"/>
      <c r="N171" s="456"/>
      <c r="O171" s="456"/>
      <c r="P171" s="457"/>
      <c r="Q171" s="457"/>
      <c r="R171" s="458"/>
    </row>
    <row r="172" spans="1:18" s="450" customFormat="1" ht="14.1" customHeight="1" outlineLevel="2">
      <c r="A172" s="446"/>
      <c r="B172" s="459" t="s">
        <v>348</v>
      </c>
      <c r="C172" s="465"/>
      <c r="D172" s="465"/>
      <c r="E172" s="465"/>
      <c r="F172" s="465"/>
      <c r="G172" s="454"/>
      <c r="H172" s="455"/>
      <c r="I172" s="454"/>
      <c r="J172" s="454"/>
      <c r="K172" s="455"/>
      <c r="L172" s="456"/>
      <c r="M172" s="456"/>
      <c r="N172" s="456"/>
      <c r="O172" s="456"/>
      <c r="P172" s="457"/>
      <c r="Q172" s="457"/>
      <c r="R172" s="458"/>
    </row>
    <row r="173" spans="1:18" s="450" customFormat="1" ht="14.1" customHeight="1" outlineLevel="2">
      <c r="A173" s="446"/>
      <c r="B173" s="459" t="s">
        <v>349</v>
      </c>
      <c r="C173" s="466"/>
      <c r="D173" s="466"/>
      <c r="E173" s="466"/>
      <c r="F173" s="466"/>
      <c r="G173" s="454"/>
      <c r="H173" s="455"/>
      <c r="I173" s="454"/>
      <c r="J173" s="454"/>
      <c r="K173" s="455"/>
      <c r="L173" s="456"/>
      <c r="M173" s="456"/>
      <c r="N173" s="456"/>
      <c r="O173" s="456"/>
      <c r="P173" s="457"/>
      <c r="Q173" s="457"/>
      <c r="R173" s="458"/>
    </row>
    <row r="174" spans="1:18" s="450" customFormat="1" ht="14.1" customHeight="1" outlineLevel="2">
      <c r="A174" s="446"/>
      <c r="B174" s="459" t="s">
        <v>350</v>
      </c>
      <c r="C174" s="454"/>
      <c r="D174" s="454"/>
      <c r="E174" s="454"/>
      <c r="F174" s="454"/>
      <c r="G174" s="454"/>
      <c r="H174" s="455"/>
      <c r="I174" s="454"/>
      <c r="J174" s="454"/>
      <c r="K174" s="455"/>
      <c r="L174" s="456"/>
      <c r="M174" s="456"/>
      <c r="N174" s="456"/>
      <c r="O174" s="456"/>
      <c r="P174" s="457"/>
      <c r="Q174" s="457"/>
      <c r="R174" s="458"/>
    </row>
    <row r="175" spans="1:18" s="450" customFormat="1" ht="14.1" customHeight="1" outlineLevel="2">
      <c r="A175" s="446"/>
      <c r="B175" s="459" t="s">
        <v>351</v>
      </c>
      <c r="C175" s="454"/>
      <c r="D175" s="454"/>
      <c r="E175" s="454"/>
      <c r="F175" s="454"/>
      <c r="G175" s="454"/>
      <c r="H175" s="455"/>
      <c r="I175" s="454"/>
      <c r="J175" s="454"/>
      <c r="K175" s="455"/>
      <c r="L175" s="456"/>
      <c r="M175" s="456"/>
      <c r="N175" s="456"/>
      <c r="O175" s="456"/>
      <c r="P175" s="457"/>
      <c r="Q175" s="457"/>
      <c r="R175" s="458"/>
    </row>
    <row r="176" spans="1:18" s="450" customFormat="1" ht="14.1" customHeight="1" outlineLevel="2">
      <c r="A176" s="446"/>
      <c r="B176" s="459" t="s">
        <v>352</v>
      </c>
      <c r="C176" s="454"/>
      <c r="D176" s="454"/>
      <c r="E176" s="454"/>
      <c r="F176" s="454"/>
      <c r="G176" s="454"/>
      <c r="H176" s="455"/>
      <c r="I176" s="454"/>
      <c r="J176" s="454"/>
      <c r="K176" s="455"/>
      <c r="L176" s="456"/>
      <c r="M176" s="456"/>
      <c r="N176" s="456"/>
      <c r="O176" s="456"/>
      <c r="P176" s="457"/>
      <c r="Q176" s="457"/>
      <c r="R176" s="458"/>
    </row>
    <row r="177" spans="1:18" s="450" customFormat="1" ht="14.1" customHeight="1" outlineLevel="2">
      <c r="A177" s="446"/>
      <c r="B177" s="459" t="s">
        <v>353</v>
      </c>
      <c r="C177" s="454"/>
      <c r="D177" s="454"/>
      <c r="E177" s="454"/>
      <c r="F177" s="454"/>
      <c r="G177" s="454"/>
      <c r="H177" s="455"/>
      <c r="I177" s="454"/>
      <c r="J177" s="454"/>
      <c r="K177" s="455"/>
      <c r="L177" s="456"/>
      <c r="M177" s="456"/>
      <c r="N177" s="456"/>
      <c r="O177" s="456"/>
      <c r="P177" s="457"/>
      <c r="Q177" s="457"/>
      <c r="R177" s="458"/>
    </row>
    <row r="178" spans="1:18" s="450" customFormat="1" ht="14.1" customHeight="1" outlineLevel="2">
      <c r="A178" s="406"/>
      <c r="B178" s="467"/>
      <c r="C178" s="223"/>
      <c r="D178" s="223"/>
      <c r="E178" s="223"/>
      <c r="F178" s="223"/>
      <c r="G178" s="454"/>
      <c r="H178" s="455"/>
      <c r="I178" s="454"/>
      <c r="J178" s="454"/>
      <c r="K178" s="455"/>
      <c r="L178" s="456"/>
      <c r="M178" s="456"/>
      <c r="N178" s="456"/>
      <c r="O178" s="456"/>
      <c r="P178" s="457"/>
      <c r="Q178" s="457"/>
      <c r="R178" s="413"/>
    </row>
    <row r="179" spans="1:18" s="450" customFormat="1" ht="14.1" customHeight="1" outlineLevel="1">
      <c r="A179" s="406"/>
      <c r="B179" s="468" t="s">
        <v>354</v>
      </c>
      <c r="C179" s="469"/>
      <c r="D179" s="470">
        <v>-10000000000</v>
      </c>
      <c r="E179" s="470"/>
      <c r="F179" s="470">
        <v>10000000000</v>
      </c>
      <c r="G179" s="454"/>
      <c r="H179" s="455"/>
      <c r="I179" s="454"/>
      <c r="J179" s="454"/>
      <c r="K179" s="455"/>
      <c r="L179" s="456"/>
      <c r="M179" s="456"/>
      <c r="N179" s="456"/>
      <c r="O179" s="456"/>
      <c r="P179" s="457"/>
      <c r="Q179" s="457"/>
      <c r="R179" s="413"/>
    </row>
    <row r="180" spans="1:18" s="450" customFormat="1" ht="14.1" customHeight="1" outlineLevel="2">
      <c r="A180" s="406"/>
      <c r="B180" s="459" t="s">
        <v>334</v>
      </c>
      <c r="C180" s="460"/>
      <c r="D180" s="460"/>
      <c r="E180" s="460"/>
      <c r="F180" s="460"/>
      <c r="G180" s="454"/>
      <c r="H180" s="455"/>
      <c r="I180" s="454"/>
      <c r="J180" s="454"/>
      <c r="K180" s="455"/>
      <c r="L180" s="456"/>
      <c r="M180" s="456"/>
      <c r="N180" s="456"/>
      <c r="O180" s="456"/>
      <c r="P180" s="457"/>
      <c r="Q180" s="457"/>
      <c r="R180" s="413"/>
    </row>
    <row r="181" spans="1:18" s="450" customFormat="1" ht="14.1" customHeight="1" outlineLevel="2">
      <c r="A181" s="406"/>
      <c r="B181" s="459" t="s">
        <v>355</v>
      </c>
      <c r="C181" s="460"/>
      <c r="D181" s="460"/>
      <c r="E181" s="460"/>
      <c r="F181" s="460"/>
      <c r="G181" s="454"/>
      <c r="H181" s="455"/>
      <c r="I181" s="454"/>
      <c r="J181" s="454"/>
      <c r="K181" s="455"/>
      <c r="L181" s="456"/>
      <c r="M181" s="456"/>
      <c r="N181" s="456"/>
      <c r="O181" s="456"/>
      <c r="P181" s="457"/>
      <c r="Q181" s="457"/>
      <c r="R181" s="413"/>
    </row>
    <row r="182" spans="1:18" s="450" customFormat="1" ht="14.1" customHeight="1" outlineLevel="2">
      <c r="A182" s="406"/>
      <c r="B182" s="459" t="s">
        <v>336</v>
      </c>
      <c r="C182" s="460"/>
      <c r="D182" s="462"/>
      <c r="E182" s="462"/>
      <c r="F182" s="462"/>
      <c r="G182" s="454"/>
      <c r="H182" s="455"/>
      <c r="I182" s="454"/>
      <c r="J182" s="454"/>
      <c r="K182" s="455"/>
      <c r="L182" s="456"/>
      <c r="M182" s="456"/>
      <c r="N182" s="456"/>
      <c r="O182" s="456"/>
      <c r="P182" s="457"/>
      <c r="Q182" s="457"/>
      <c r="R182" s="413"/>
    </row>
    <row r="183" spans="1:18" s="450" customFormat="1" ht="14.1" customHeight="1" outlineLevel="2">
      <c r="A183" s="406"/>
      <c r="B183" s="459" t="s">
        <v>356</v>
      </c>
      <c r="C183" s="460"/>
      <c r="D183" s="471"/>
      <c r="E183" s="471"/>
      <c r="F183" s="471"/>
      <c r="G183" s="454"/>
      <c r="H183" s="455"/>
      <c r="I183" s="454"/>
      <c r="J183" s="454"/>
      <c r="K183" s="455"/>
      <c r="L183" s="456"/>
      <c r="M183" s="456"/>
      <c r="N183" s="456"/>
      <c r="O183" s="456"/>
      <c r="P183" s="457"/>
      <c r="Q183" s="457"/>
      <c r="R183" s="413"/>
    </row>
    <row r="184" spans="1:18" s="450" customFormat="1" ht="14.1" customHeight="1" outlineLevel="2">
      <c r="A184" s="406"/>
      <c r="B184" s="459" t="s">
        <v>338</v>
      </c>
      <c r="C184" s="460"/>
      <c r="D184" s="460"/>
      <c r="E184" s="460"/>
      <c r="F184" s="460"/>
      <c r="G184" s="454"/>
      <c r="H184" s="455"/>
      <c r="I184" s="454"/>
      <c r="J184" s="454"/>
      <c r="K184" s="455"/>
      <c r="L184" s="456"/>
      <c r="M184" s="456"/>
      <c r="N184" s="456"/>
      <c r="O184" s="456"/>
      <c r="P184" s="457"/>
      <c r="Q184" s="457"/>
      <c r="R184" s="413"/>
    </row>
    <row r="185" spans="1:18" s="450" customFormat="1" ht="14.1" customHeight="1" outlineLevel="2">
      <c r="A185" s="406"/>
      <c r="B185" s="459" t="s">
        <v>357</v>
      </c>
      <c r="C185" s="460"/>
      <c r="D185" s="460"/>
      <c r="E185" s="460"/>
      <c r="F185" s="460"/>
      <c r="G185" s="454"/>
      <c r="H185" s="455"/>
      <c r="I185" s="454"/>
      <c r="J185" s="454"/>
      <c r="K185" s="455"/>
      <c r="L185" s="456"/>
      <c r="M185" s="456"/>
      <c r="N185" s="456"/>
      <c r="O185" s="456"/>
      <c r="P185" s="457"/>
      <c r="Q185" s="457"/>
      <c r="R185" s="413"/>
    </row>
    <row r="186" spans="1:18" s="450" customFormat="1" ht="14.1" customHeight="1" outlineLevel="2">
      <c r="A186" s="406"/>
      <c r="B186" s="459" t="s">
        <v>358</v>
      </c>
      <c r="C186" s="460"/>
      <c r="D186" s="460"/>
      <c r="E186" s="460"/>
      <c r="F186" s="460"/>
      <c r="G186" s="454"/>
      <c r="H186" s="455"/>
      <c r="I186" s="454"/>
      <c r="J186" s="454"/>
      <c r="K186" s="455"/>
      <c r="L186" s="456"/>
      <c r="M186" s="456"/>
      <c r="N186" s="456"/>
      <c r="O186" s="456"/>
      <c r="P186" s="457"/>
      <c r="Q186" s="457"/>
      <c r="R186" s="413"/>
    </row>
    <row r="187" spans="1:18" s="450" customFormat="1" ht="14.1" customHeight="1" outlineLevel="2">
      <c r="A187" s="406"/>
      <c r="B187" s="459" t="s">
        <v>359</v>
      </c>
      <c r="C187" s="460"/>
      <c r="D187" s="460"/>
      <c r="E187" s="460"/>
      <c r="F187" s="460"/>
      <c r="G187" s="454"/>
      <c r="H187" s="455"/>
      <c r="I187" s="454"/>
      <c r="J187" s="454"/>
      <c r="K187" s="455"/>
      <c r="L187" s="456"/>
      <c r="M187" s="456"/>
      <c r="N187" s="456"/>
      <c r="O187" s="456"/>
      <c r="P187" s="457"/>
      <c r="Q187" s="457"/>
      <c r="R187" s="413"/>
    </row>
    <row r="188" spans="1:18" s="450" customFormat="1" ht="14.1" customHeight="1" outlineLevel="2">
      <c r="A188" s="406"/>
      <c r="B188" s="459" t="s">
        <v>360</v>
      </c>
      <c r="C188" s="460"/>
      <c r="D188" s="460"/>
      <c r="E188" s="460"/>
      <c r="F188" s="460"/>
      <c r="G188" s="454"/>
      <c r="H188" s="455"/>
      <c r="I188" s="454"/>
      <c r="J188" s="454"/>
      <c r="K188" s="455"/>
      <c r="L188" s="456"/>
      <c r="M188" s="456"/>
      <c r="N188" s="456"/>
      <c r="O188" s="456"/>
      <c r="P188" s="457"/>
      <c r="Q188" s="457"/>
      <c r="R188" s="413"/>
    </row>
    <row r="189" spans="1:18" s="450" customFormat="1" ht="14.1" customHeight="1" outlineLevel="2">
      <c r="A189" s="406"/>
      <c r="B189" s="459" t="s">
        <v>361</v>
      </c>
      <c r="C189" s="460"/>
      <c r="D189" s="460"/>
      <c r="E189" s="460"/>
      <c r="F189" s="460"/>
      <c r="G189" s="454"/>
      <c r="H189" s="455"/>
      <c r="I189" s="454"/>
      <c r="J189" s="454"/>
      <c r="K189" s="455"/>
      <c r="L189" s="456"/>
      <c r="M189" s="456"/>
      <c r="N189" s="456"/>
      <c r="O189" s="456"/>
      <c r="P189" s="457"/>
      <c r="Q189" s="457"/>
      <c r="R189" s="413"/>
    </row>
    <row r="190" spans="1:18" s="450" customFormat="1" ht="14.1" customHeight="1" outlineLevel="2">
      <c r="A190" s="406"/>
      <c r="B190" s="459" t="s">
        <v>362</v>
      </c>
      <c r="C190" s="460"/>
      <c r="D190" s="460"/>
      <c r="E190" s="460"/>
      <c r="F190" s="460"/>
      <c r="G190" s="454"/>
      <c r="H190" s="455"/>
      <c r="I190" s="454"/>
      <c r="J190" s="454"/>
      <c r="K190" s="455"/>
      <c r="L190" s="456"/>
      <c r="M190" s="456"/>
      <c r="N190" s="456"/>
      <c r="O190" s="456"/>
      <c r="P190" s="457"/>
      <c r="Q190" s="457"/>
      <c r="R190" s="413"/>
    </row>
    <row r="191" spans="1:18" s="450" customFormat="1" ht="14.1" customHeight="1" outlineLevel="2">
      <c r="A191" s="406"/>
      <c r="B191" s="459" t="s">
        <v>363</v>
      </c>
      <c r="C191" s="460"/>
      <c r="D191" s="460"/>
      <c r="E191" s="460"/>
      <c r="F191" s="460"/>
      <c r="G191" s="454"/>
      <c r="H191" s="455"/>
      <c r="I191" s="454"/>
      <c r="J191" s="454"/>
      <c r="K191" s="455"/>
      <c r="L191" s="456"/>
      <c r="M191" s="456"/>
      <c r="N191" s="456"/>
      <c r="O191" s="456"/>
      <c r="P191" s="457"/>
      <c r="Q191" s="457"/>
      <c r="R191" s="413"/>
    </row>
    <row r="192" spans="1:18" s="450" customFormat="1" ht="14.1" customHeight="1" outlineLevel="2">
      <c r="A192" s="406"/>
      <c r="B192" s="459" t="s">
        <v>364</v>
      </c>
      <c r="C192" s="460"/>
      <c r="D192" s="460"/>
      <c r="E192" s="460"/>
      <c r="F192" s="460"/>
      <c r="G192" s="454"/>
      <c r="H192" s="455"/>
      <c r="I192" s="454"/>
      <c r="J192" s="454"/>
      <c r="K192" s="455"/>
      <c r="L192" s="456"/>
      <c r="M192" s="456"/>
      <c r="N192" s="456"/>
      <c r="O192" s="456"/>
      <c r="P192" s="457"/>
      <c r="Q192" s="457"/>
      <c r="R192" s="413"/>
    </row>
    <row r="193" spans="1:18" s="450" customFormat="1" ht="14.1" customHeight="1" outlineLevel="2">
      <c r="A193" s="406"/>
      <c r="B193" s="459" t="s">
        <v>365</v>
      </c>
      <c r="C193" s="460"/>
      <c r="D193" s="460"/>
      <c r="E193" s="460"/>
      <c r="F193" s="460"/>
      <c r="G193" s="454"/>
      <c r="H193" s="455"/>
      <c r="I193" s="454"/>
      <c r="J193" s="454"/>
      <c r="K193" s="455"/>
      <c r="L193" s="456"/>
      <c r="M193" s="456"/>
      <c r="N193" s="456"/>
      <c r="O193" s="456"/>
      <c r="P193" s="457"/>
      <c r="Q193" s="457"/>
      <c r="R193" s="413"/>
    </row>
    <row r="194" spans="1:18" s="450" customFormat="1" ht="14.1" customHeight="1" outlineLevel="2">
      <c r="A194" s="406"/>
      <c r="B194" s="459" t="s">
        <v>366</v>
      </c>
      <c r="C194" s="460"/>
      <c r="D194" s="460"/>
      <c r="E194" s="460"/>
      <c r="F194" s="460"/>
      <c r="G194" s="454"/>
      <c r="H194" s="455"/>
      <c r="I194" s="454"/>
      <c r="J194" s="454"/>
      <c r="K194" s="455"/>
      <c r="L194" s="456"/>
      <c r="M194" s="456"/>
      <c r="N194" s="456"/>
      <c r="O194" s="456"/>
      <c r="P194" s="457"/>
      <c r="Q194" s="457"/>
      <c r="R194" s="413"/>
    </row>
    <row r="195" spans="1:18" s="450" customFormat="1" ht="14.1" customHeight="1" outlineLevel="2">
      <c r="A195" s="406"/>
      <c r="B195" s="459" t="s">
        <v>367</v>
      </c>
      <c r="C195" s="460"/>
      <c r="D195" s="460"/>
      <c r="E195" s="460"/>
      <c r="F195" s="460"/>
      <c r="G195" s="454"/>
      <c r="H195" s="455"/>
      <c r="I195" s="454"/>
      <c r="J195" s="454"/>
      <c r="K195" s="455"/>
      <c r="L195" s="456"/>
      <c r="M195" s="456"/>
      <c r="N195" s="456"/>
      <c r="O195" s="456"/>
      <c r="P195" s="457"/>
      <c r="Q195" s="457"/>
      <c r="R195" s="413"/>
    </row>
    <row r="196" spans="1:18" s="450" customFormat="1" ht="14.1" customHeight="1" outlineLevel="2">
      <c r="A196" s="406"/>
      <c r="B196" s="459" t="s">
        <v>349</v>
      </c>
      <c r="C196" s="460"/>
      <c r="D196" s="460"/>
      <c r="E196" s="460"/>
      <c r="F196" s="460"/>
      <c r="G196" s="454"/>
      <c r="H196" s="455"/>
      <c r="I196" s="454"/>
      <c r="J196" s="454"/>
      <c r="K196" s="455"/>
      <c r="L196" s="456"/>
      <c r="M196" s="456"/>
      <c r="N196" s="456"/>
      <c r="O196" s="456"/>
      <c r="P196" s="457"/>
      <c r="Q196" s="457"/>
      <c r="R196" s="413"/>
    </row>
    <row r="197" spans="1:18" s="450" customFormat="1" ht="14.1" customHeight="1" outlineLevel="2">
      <c r="A197" s="406"/>
      <c r="B197" s="459" t="s">
        <v>350</v>
      </c>
      <c r="C197" s="460"/>
      <c r="D197" s="460"/>
      <c r="E197" s="460"/>
      <c r="F197" s="460"/>
      <c r="G197" s="454"/>
      <c r="H197" s="455"/>
      <c r="I197" s="454"/>
      <c r="J197" s="454"/>
      <c r="K197" s="455"/>
      <c r="L197" s="456"/>
      <c r="M197" s="456"/>
      <c r="N197" s="456"/>
      <c r="O197" s="456"/>
      <c r="P197" s="457"/>
      <c r="Q197" s="457"/>
      <c r="R197" s="413"/>
    </row>
    <row r="198" spans="1:18" s="450" customFormat="1" ht="14.1" customHeight="1" outlineLevel="2">
      <c r="A198" s="406"/>
      <c r="B198" s="459" t="s">
        <v>351</v>
      </c>
      <c r="C198" s="460"/>
      <c r="D198" s="460"/>
      <c r="E198" s="460"/>
      <c r="F198" s="460"/>
      <c r="G198" s="454"/>
      <c r="H198" s="455"/>
      <c r="I198" s="454"/>
      <c r="J198" s="454"/>
      <c r="K198" s="455"/>
      <c r="L198" s="456"/>
      <c r="M198" s="456"/>
      <c r="N198" s="456"/>
      <c r="O198" s="456"/>
      <c r="P198" s="457"/>
      <c r="Q198" s="457"/>
      <c r="R198" s="413"/>
    </row>
    <row r="199" spans="1:18" s="450" customFormat="1" ht="14.1" customHeight="1" outlineLevel="2">
      <c r="A199" s="406"/>
      <c r="B199" s="459" t="s">
        <v>368</v>
      </c>
      <c r="C199" s="460"/>
      <c r="D199" s="460"/>
      <c r="E199" s="460"/>
      <c r="F199" s="460"/>
      <c r="G199" s="454"/>
      <c r="H199" s="455"/>
      <c r="I199" s="454"/>
      <c r="J199" s="454"/>
      <c r="K199" s="455"/>
      <c r="L199" s="456"/>
      <c r="M199" s="456"/>
      <c r="N199" s="456"/>
      <c r="O199" s="456"/>
      <c r="P199" s="457"/>
      <c r="Q199" s="457"/>
      <c r="R199" s="413"/>
    </row>
    <row r="200" spans="1:18" s="450" customFormat="1" ht="14.1" customHeight="1" outlineLevel="2">
      <c r="A200" s="406"/>
      <c r="B200" s="459" t="s">
        <v>353</v>
      </c>
      <c r="C200" s="460"/>
      <c r="D200" s="460"/>
      <c r="E200" s="460"/>
      <c r="F200" s="460"/>
      <c r="G200" s="454"/>
      <c r="H200" s="455"/>
      <c r="I200" s="454"/>
      <c r="J200" s="454"/>
      <c r="K200" s="455"/>
      <c r="L200" s="456"/>
      <c r="M200" s="456"/>
      <c r="N200" s="456"/>
      <c r="O200" s="456"/>
      <c r="P200" s="457"/>
      <c r="Q200" s="457"/>
      <c r="R200" s="413"/>
    </row>
    <row r="201" spans="1:18" s="450" customFormat="1" ht="14.1" customHeight="1" outlineLevel="2">
      <c r="A201" s="406"/>
      <c r="B201" s="472"/>
      <c r="C201" s="460"/>
      <c r="D201" s="460"/>
      <c r="E201" s="460"/>
      <c r="F201" s="460"/>
      <c r="G201" s="454"/>
      <c r="H201" s="455"/>
      <c r="I201" s="454"/>
      <c r="J201" s="454"/>
      <c r="K201" s="455"/>
      <c r="L201" s="456"/>
      <c r="M201" s="456"/>
      <c r="N201" s="456"/>
      <c r="O201" s="456"/>
      <c r="P201" s="457"/>
      <c r="Q201" s="457"/>
      <c r="R201" s="413"/>
    </row>
    <row r="202" spans="1:18" s="450" customFormat="1" ht="14.1" customHeight="1" outlineLevel="1">
      <c r="A202" s="406"/>
      <c r="B202" s="451" t="s">
        <v>369</v>
      </c>
      <c r="C202" s="461"/>
      <c r="D202" s="184">
        <v>-10000000000</v>
      </c>
      <c r="E202" s="184"/>
      <c r="F202" s="184">
        <v>10000000000</v>
      </c>
      <c r="G202" s="454"/>
      <c r="H202" s="455"/>
      <c r="I202" s="454"/>
      <c r="J202" s="454"/>
      <c r="K202" s="455"/>
      <c r="L202" s="456"/>
      <c r="M202" s="456"/>
      <c r="N202" s="456"/>
      <c r="O202" s="456"/>
      <c r="P202" s="457"/>
      <c r="Q202" s="457"/>
      <c r="R202" s="413"/>
    </row>
    <row r="203" spans="1:18" s="450" customFormat="1" ht="14.1" customHeight="1" outlineLevel="2">
      <c r="A203" s="406"/>
      <c r="B203" s="459" t="s">
        <v>334</v>
      </c>
      <c r="C203" s="460"/>
      <c r="D203" s="460"/>
      <c r="E203" s="460"/>
      <c r="F203" s="460"/>
      <c r="G203" s="454"/>
      <c r="H203" s="455"/>
      <c r="I203" s="454"/>
      <c r="J203" s="454"/>
      <c r="K203" s="455"/>
      <c r="L203" s="456"/>
      <c r="M203" s="456"/>
      <c r="N203" s="456"/>
      <c r="O203" s="456"/>
      <c r="P203" s="457"/>
      <c r="Q203" s="457"/>
      <c r="R203" s="413"/>
    </row>
    <row r="204" spans="1:18" s="450" customFormat="1" ht="14.1" customHeight="1" outlineLevel="2">
      <c r="A204" s="406"/>
      <c r="B204" s="459" t="s">
        <v>335</v>
      </c>
      <c r="C204" s="461"/>
      <c r="D204" s="461"/>
      <c r="E204" s="461"/>
      <c r="F204" s="461"/>
      <c r="G204" s="454"/>
      <c r="H204" s="455"/>
      <c r="I204" s="454"/>
      <c r="J204" s="454"/>
      <c r="K204" s="455"/>
      <c r="L204" s="456"/>
      <c r="M204" s="456"/>
      <c r="N204" s="456"/>
      <c r="O204" s="456"/>
      <c r="P204" s="457"/>
      <c r="Q204" s="457"/>
      <c r="R204" s="413"/>
    </row>
    <row r="205" spans="1:18" s="450" customFormat="1" ht="14.1" customHeight="1" outlineLevel="2">
      <c r="A205" s="406"/>
      <c r="B205" s="459" t="s">
        <v>336</v>
      </c>
      <c r="C205" s="462"/>
      <c r="D205" s="462"/>
      <c r="E205" s="462"/>
      <c r="F205" s="462"/>
      <c r="G205" s="454"/>
      <c r="H205" s="455"/>
      <c r="I205" s="454"/>
      <c r="J205" s="454"/>
      <c r="K205" s="455"/>
      <c r="L205" s="456"/>
      <c r="M205" s="456"/>
      <c r="N205" s="456"/>
      <c r="O205" s="456"/>
      <c r="P205" s="457"/>
      <c r="Q205" s="457"/>
      <c r="R205" s="413"/>
    </row>
    <row r="206" spans="1:18" s="450" customFormat="1" ht="14.1" customHeight="1" outlineLevel="2">
      <c r="A206" s="406"/>
      <c r="B206" s="459" t="s">
        <v>370</v>
      </c>
      <c r="C206" s="463"/>
      <c r="D206" s="463"/>
      <c r="E206" s="463"/>
      <c r="F206" s="463"/>
      <c r="G206" s="454"/>
      <c r="H206" s="455"/>
      <c r="I206" s="454"/>
      <c r="J206" s="454"/>
      <c r="K206" s="455"/>
      <c r="L206" s="456"/>
      <c r="M206" s="456"/>
      <c r="N206" s="456"/>
      <c r="O206" s="456"/>
      <c r="P206" s="457"/>
      <c r="Q206" s="457"/>
      <c r="R206" s="413"/>
    </row>
    <row r="207" spans="1:18" s="450" customFormat="1" ht="14.1" customHeight="1" outlineLevel="2">
      <c r="A207" s="406"/>
      <c r="B207" s="459" t="s">
        <v>338</v>
      </c>
      <c r="C207" s="454"/>
      <c r="D207" s="454"/>
      <c r="E207" s="454"/>
      <c r="F207" s="454"/>
      <c r="G207" s="454"/>
      <c r="H207" s="455"/>
      <c r="I207" s="454"/>
      <c r="J207" s="454"/>
      <c r="K207" s="455"/>
      <c r="L207" s="456"/>
      <c r="M207" s="456"/>
      <c r="N207" s="456"/>
      <c r="O207" s="456"/>
      <c r="P207" s="457"/>
      <c r="Q207" s="457"/>
      <c r="R207" s="413"/>
    </row>
    <row r="208" spans="1:18" s="450" customFormat="1" ht="14.1" customHeight="1" outlineLevel="2">
      <c r="A208" s="406"/>
      <c r="B208" s="459" t="s">
        <v>357</v>
      </c>
      <c r="C208" s="218"/>
      <c r="D208" s="218"/>
      <c r="E208" s="218"/>
      <c r="F208" s="218"/>
      <c r="G208" s="454"/>
      <c r="H208" s="455"/>
      <c r="I208" s="454"/>
      <c r="J208" s="454"/>
      <c r="K208" s="455"/>
      <c r="L208" s="456"/>
      <c r="M208" s="456"/>
      <c r="N208" s="456"/>
      <c r="O208" s="456"/>
      <c r="P208" s="457"/>
      <c r="Q208" s="457"/>
      <c r="R208" s="413"/>
    </row>
    <row r="209" spans="1:18" s="450" customFormat="1" ht="14.1" customHeight="1" outlineLevel="2">
      <c r="A209" s="406"/>
      <c r="B209" s="459" t="s">
        <v>358</v>
      </c>
      <c r="C209" s="218"/>
      <c r="D209" s="218"/>
      <c r="E209" s="218"/>
      <c r="F209" s="218"/>
      <c r="G209" s="454"/>
      <c r="H209" s="455"/>
      <c r="I209" s="454"/>
      <c r="J209" s="454"/>
      <c r="K209" s="455"/>
      <c r="L209" s="456"/>
      <c r="M209" s="456"/>
      <c r="N209" s="456"/>
      <c r="O209" s="456"/>
      <c r="P209" s="457"/>
      <c r="Q209" s="457"/>
      <c r="R209" s="413"/>
    </row>
    <row r="210" spans="1:18" s="450" customFormat="1" ht="14.1" customHeight="1" outlineLevel="2">
      <c r="A210" s="406"/>
      <c r="B210" s="459" t="s">
        <v>371</v>
      </c>
      <c r="C210" s="461"/>
      <c r="D210" s="461"/>
      <c r="E210" s="461"/>
      <c r="F210" s="461"/>
      <c r="G210" s="454"/>
      <c r="H210" s="455"/>
      <c r="I210" s="454"/>
      <c r="J210" s="454"/>
      <c r="K210" s="455"/>
      <c r="L210" s="456"/>
      <c r="M210" s="456"/>
      <c r="N210" s="456"/>
      <c r="O210" s="456"/>
      <c r="P210" s="457"/>
      <c r="Q210" s="457"/>
      <c r="R210" s="413"/>
    </row>
    <row r="211" spans="1:18" s="450" customFormat="1" ht="14.1" customHeight="1" outlineLevel="2">
      <c r="A211" s="406"/>
      <c r="B211" s="459" t="s">
        <v>372</v>
      </c>
      <c r="C211" s="473"/>
      <c r="D211" s="473"/>
      <c r="E211" s="473"/>
      <c r="F211" s="473"/>
      <c r="G211" s="454"/>
      <c r="H211" s="455"/>
      <c r="I211" s="454"/>
      <c r="J211" s="454"/>
      <c r="K211" s="455"/>
      <c r="L211" s="456"/>
      <c r="M211" s="456"/>
      <c r="N211" s="456"/>
      <c r="O211" s="456"/>
      <c r="P211" s="457"/>
      <c r="Q211" s="457"/>
      <c r="R211" s="413"/>
    </row>
    <row r="212" spans="1:18" s="450" customFormat="1" ht="14.1" customHeight="1" outlineLevel="2">
      <c r="A212" s="406"/>
      <c r="B212" s="459" t="s">
        <v>373</v>
      </c>
      <c r="C212" s="465"/>
      <c r="D212" s="465"/>
      <c r="E212" s="465"/>
      <c r="F212" s="465"/>
      <c r="G212" s="454"/>
      <c r="H212" s="455"/>
      <c r="I212" s="454"/>
      <c r="J212" s="454"/>
      <c r="K212" s="455"/>
      <c r="L212" s="456"/>
      <c r="M212" s="456"/>
      <c r="N212" s="456"/>
      <c r="O212" s="456"/>
      <c r="P212" s="457"/>
      <c r="Q212" s="457"/>
      <c r="R212" s="413"/>
    </row>
    <row r="213" spans="1:18" s="450" customFormat="1" ht="14.1" customHeight="1" outlineLevel="2">
      <c r="A213" s="406"/>
      <c r="B213" s="459" t="s">
        <v>374</v>
      </c>
      <c r="C213" s="465"/>
      <c r="D213" s="465"/>
      <c r="E213" s="465"/>
      <c r="F213" s="465"/>
      <c r="G213" s="454"/>
      <c r="H213" s="455"/>
      <c r="I213" s="454"/>
      <c r="J213" s="454"/>
      <c r="K213" s="455"/>
      <c r="L213" s="456"/>
      <c r="M213" s="456"/>
      <c r="N213" s="456"/>
      <c r="O213" s="456"/>
      <c r="P213" s="457"/>
      <c r="Q213" s="457"/>
      <c r="R213" s="413"/>
    </row>
    <row r="214" spans="1:18" s="450" customFormat="1" ht="14.1" customHeight="1" outlineLevel="2">
      <c r="A214" s="406"/>
      <c r="B214" s="459" t="s">
        <v>375</v>
      </c>
      <c r="C214" s="465"/>
      <c r="D214" s="465"/>
      <c r="E214" s="465"/>
      <c r="F214" s="465"/>
      <c r="G214" s="454"/>
      <c r="H214" s="455"/>
      <c r="I214" s="454"/>
      <c r="J214" s="454"/>
      <c r="K214" s="455"/>
      <c r="L214" s="456"/>
      <c r="M214" s="456"/>
      <c r="N214" s="456"/>
      <c r="O214" s="456"/>
      <c r="P214" s="457"/>
      <c r="Q214" s="457"/>
      <c r="R214" s="413"/>
    </row>
    <row r="215" spans="1:18" s="450" customFormat="1" ht="14.1" customHeight="1" outlineLevel="2">
      <c r="A215" s="406"/>
      <c r="B215" s="459" t="s">
        <v>376</v>
      </c>
      <c r="C215" s="465"/>
      <c r="D215" s="465"/>
      <c r="E215" s="465"/>
      <c r="F215" s="465"/>
      <c r="G215" s="454"/>
      <c r="H215" s="455"/>
      <c r="I215" s="454"/>
      <c r="J215" s="454"/>
      <c r="K215" s="455"/>
      <c r="L215" s="456"/>
      <c r="M215" s="456"/>
      <c r="N215" s="456"/>
      <c r="O215" s="456"/>
      <c r="P215" s="457"/>
      <c r="Q215" s="457"/>
      <c r="R215" s="413"/>
    </row>
    <row r="216" spans="1:18" s="450" customFormat="1" ht="14.1" customHeight="1" outlineLevel="2">
      <c r="A216" s="406"/>
      <c r="B216" s="459" t="s">
        <v>377</v>
      </c>
      <c r="C216" s="465"/>
      <c r="D216" s="465"/>
      <c r="E216" s="465"/>
      <c r="F216" s="465"/>
      <c r="G216" s="454"/>
      <c r="H216" s="455"/>
      <c r="I216" s="454"/>
      <c r="J216" s="454"/>
      <c r="K216" s="455"/>
      <c r="L216" s="456"/>
      <c r="M216" s="456"/>
      <c r="N216" s="456"/>
      <c r="O216" s="456"/>
      <c r="P216" s="457"/>
      <c r="Q216" s="457"/>
      <c r="R216" s="413"/>
    </row>
    <row r="217" spans="1:18" s="450" customFormat="1" ht="14.1" customHeight="1" outlineLevel="2">
      <c r="A217" s="406"/>
      <c r="B217" s="459" t="s">
        <v>378</v>
      </c>
      <c r="C217" s="465"/>
      <c r="D217" s="465"/>
      <c r="E217" s="465"/>
      <c r="F217" s="465"/>
      <c r="G217" s="454"/>
      <c r="H217" s="455"/>
      <c r="I217" s="454"/>
      <c r="J217" s="454"/>
      <c r="K217" s="455"/>
      <c r="L217" s="456"/>
      <c r="M217" s="456"/>
      <c r="N217" s="456"/>
      <c r="O217" s="456"/>
      <c r="P217" s="457"/>
      <c r="Q217" s="457"/>
      <c r="R217" s="413"/>
    </row>
    <row r="218" spans="1:18" s="450" customFormat="1" ht="14.1" customHeight="1" outlineLevel="2">
      <c r="A218" s="406"/>
      <c r="B218" s="459" t="s">
        <v>379</v>
      </c>
      <c r="C218" s="465"/>
      <c r="D218" s="465"/>
      <c r="E218" s="465"/>
      <c r="F218" s="465"/>
      <c r="G218" s="454"/>
      <c r="H218" s="455"/>
      <c r="I218" s="454"/>
      <c r="J218" s="454"/>
      <c r="K218" s="455"/>
      <c r="L218" s="456"/>
      <c r="M218" s="456"/>
      <c r="N218" s="456"/>
      <c r="O218" s="456"/>
      <c r="P218" s="457"/>
      <c r="Q218" s="457"/>
      <c r="R218" s="413"/>
    </row>
    <row r="219" spans="1:18" s="450" customFormat="1" ht="14.1" customHeight="1" outlineLevel="2">
      <c r="A219" s="406"/>
      <c r="B219" s="459" t="s">
        <v>349</v>
      </c>
      <c r="C219" s="466"/>
      <c r="D219" s="466"/>
      <c r="E219" s="466"/>
      <c r="F219" s="466"/>
      <c r="G219" s="454"/>
      <c r="H219" s="455"/>
      <c r="I219" s="454"/>
      <c r="J219" s="454"/>
      <c r="K219" s="455"/>
      <c r="L219" s="456"/>
      <c r="M219" s="456"/>
      <c r="N219" s="456"/>
      <c r="O219" s="456"/>
      <c r="P219" s="457"/>
      <c r="Q219" s="457"/>
      <c r="R219" s="413"/>
    </row>
    <row r="220" spans="1:18" s="450" customFormat="1" ht="14.1" customHeight="1" outlineLevel="2">
      <c r="A220" s="406"/>
      <c r="B220" s="459" t="s">
        <v>350</v>
      </c>
      <c r="C220" s="454"/>
      <c r="D220" s="454"/>
      <c r="E220" s="454"/>
      <c r="F220" s="454"/>
      <c r="G220" s="454"/>
      <c r="H220" s="455"/>
      <c r="I220" s="454"/>
      <c r="J220" s="454"/>
      <c r="K220" s="455"/>
      <c r="L220" s="456"/>
      <c r="M220" s="456"/>
      <c r="N220" s="456"/>
      <c r="O220" s="456"/>
      <c r="P220" s="457"/>
      <c r="Q220" s="457"/>
      <c r="R220" s="413"/>
    </row>
    <row r="221" spans="1:18" s="450" customFormat="1" ht="14.1" customHeight="1" outlineLevel="2">
      <c r="A221" s="406"/>
      <c r="B221" s="459" t="s">
        <v>351</v>
      </c>
      <c r="C221" s="454"/>
      <c r="D221" s="454"/>
      <c r="E221" s="454"/>
      <c r="F221" s="454"/>
      <c r="G221" s="454"/>
      <c r="H221" s="455"/>
      <c r="I221" s="454"/>
      <c r="J221" s="454"/>
      <c r="K221" s="455"/>
      <c r="L221" s="456"/>
      <c r="M221" s="456"/>
      <c r="N221" s="456"/>
      <c r="O221" s="456"/>
      <c r="P221" s="457"/>
      <c r="Q221" s="457"/>
      <c r="R221" s="413"/>
    </row>
    <row r="222" spans="1:18" s="450" customFormat="1" ht="14.1" customHeight="1" outlineLevel="2">
      <c r="A222" s="406"/>
      <c r="B222" s="459" t="s">
        <v>380</v>
      </c>
      <c r="C222" s="454"/>
      <c r="D222" s="454"/>
      <c r="E222" s="454"/>
      <c r="F222" s="454"/>
      <c r="G222" s="454"/>
      <c r="H222" s="455"/>
      <c r="I222" s="454"/>
      <c r="J222" s="454"/>
      <c r="K222" s="455"/>
      <c r="L222" s="456"/>
      <c r="M222" s="456"/>
      <c r="N222" s="456"/>
      <c r="O222" s="456"/>
      <c r="P222" s="457"/>
      <c r="Q222" s="457"/>
      <c r="R222" s="413"/>
    </row>
    <row r="223" spans="1:18" s="450" customFormat="1" ht="14.1" customHeight="1" outlineLevel="2">
      <c r="A223" s="406"/>
      <c r="B223" s="459" t="s">
        <v>353</v>
      </c>
      <c r="C223" s="454"/>
      <c r="D223" s="454"/>
      <c r="E223" s="454"/>
      <c r="F223" s="454"/>
      <c r="G223" s="454"/>
      <c r="H223" s="455"/>
      <c r="I223" s="454"/>
      <c r="J223" s="454"/>
      <c r="K223" s="455"/>
      <c r="L223" s="456"/>
      <c r="M223" s="456"/>
      <c r="N223" s="456"/>
      <c r="O223" s="456"/>
      <c r="P223" s="457"/>
      <c r="Q223" s="457"/>
      <c r="R223" s="413"/>
    </row>
    <row r="224" spans="1:18" s="450" customFormat="1" ht="14.1" customHeight="1" outlineLevel="2">
      <c r="A224" s="406"/>
      <c r="B224" s="474"/>
      <c r="C224" s="454"/>
      <c r="D224" s="454"/>
      <c r="E224" s="454"/>
      <c r="F224" s="454"/>
      <c r="G224" s="454"/>
      <c r="H224" s="455"/>
      <c r="I224" s="454"/>
      <c r="J224" s="454"/>
      <c r="K224" s="455"/>
      <c r="L224" s="456"/>
      <c r="M224" s="456"/>
      <c r="N224" s="456"/>
      <c r="O224" s="456"/>
      <c r="P224" s="457"/>
      <c r="Q224" s="457"/>
      <c r="R224" s="413"/>
    </row>
    <row r="225" spans="1:18" s="450" customFormat="1" ht="14.1" customHeight="1" outlineLevel="1">
      <c r="A225" s="406"/>
      <c r="B225" s="475" t="s">
        <v>381</v>
      </c>
      <c r="C225" s="476"/>
      <c r="D225" s="476"/>
      <c r="E225" s="476">
        <v>-10000000000</v>
      </c>
      <c r="F225" s="476"/>
      <c r="G225" s="477">
        <v>10000000000</v>
      </c>
      <c r="H225" s="478"/>
      <c r="I225" s="478"/>
      <c r="J225" s="478"/>
      <c r="K225" s="479"/>
      <c r="L225" s="480"/>
      <c r="M225" s="480"/>
      <c r="N225" s="480"/>
      <c r="O225" s="480"/>
      <c r="P225" s="481"/>
      <c r="Q225" s="481"/>
      <c r="R225" s="413"/>
    </row>
    <row r="226" spans="1:18" s="450" customFormat="1" ht="14.1" customHeight="1" outlineLevel="2">
      <c r="A226" s="406"/>
      <c r="B226" s="482" t="s">
        <v>334</v>
      </c>
      <c r="C226" s="476"/>
      <c r="D226" s="476"/>
      <c r="E226" s="476"/>
      <c r="F226" s="476"/>
      <c r="G226" s="479"/>
      <c r="H226" s="478"/>
      <c r="I226" s="478"/>
      <c r="J226" s="478"/>
      <c r="K226" s="479"/>
      <c r="L226" s="480"/>
      <c r="M226" s="480"/>
      <c r="N226" s="480"/>
      <c r="O226" s="480"/>
      <c r="P226" s="481"/>
      <c r="Q226" s="481"/>
      <c r="R226" s="413"/>
    </row>
    <row r="227" spans="1:18" s="450" customFormat="1" ht="14.1" customHeight="1" outlineLevel="2">
      <c r="A227" s="406"/>
      <c r="B227" s="482" t="s">
        <v>335</v>
      </c>
      <c r="C227" s="476"/>
      <c r="D227" s="476"/>
      <c r="E227" s="476"/>
      <c r="F227" s="476"/>
      <c r="G227" s="483"/>
      <c r="H227" s="478"/>
      <c r="I227" s="478"/>
      <c r="J227" s="478"/>
      <c r="K227" s="479"/>
      <c r="L227" s="480"/>
      <c r="M227" s="480"/>
      <c r="N227" s="480"/>
      <c r="O227" s="480"/>
      <c r="P227" s="481"/>
      <c r="Q227" s="481"/>
      <c r="R227" s="413"/>
    </row>
    <row r="228" spans="1:18" s="450" customFormat="1" ht="14.1" customHeight="1" outlineLevel="2">
      <c r="A228" s="406"/>
      <c r="B228" s="482" t="s">
        <v>382</v>
      </c>
      <c r="C228" s="476"/>
      <c r="D228" s="476"/>
      <c r="E228" s="476"/>
      <c r="F228" s="476"/>
      <c r="G228" s="484"/>
      <c r="H228" s="478"/>
      <c r="I228" s="478"/>
      <c r="J228" s="478"/>
      <c r="K228" s="479"/>
      <c r="L228" s="480"/>
      <c r="M228" s="480"/>
      <c r="N228" s="480"/>
      <c r="O228" s="480"/>
      <c r="P228" s="481"/>
      <c r="Q228" s="481"/>
      <c r="R228" s="413"/>
    </row>
    <row r="229" spans="1:18" s="450" customFormat="1" ht="14.1" customHeight="1" outlineLevel="2">
      <c r="A229" s="406"/>
      <c r="B229" s="482" t="s">
        <v>370</v>
      </c>
      <c r="C229" s="476"/>
      <c r="D229" s="476"/>
      <c r="E229" s="476"/>
      <c r="F229" s="476"/>
      <c r="G229" s="485"/>
      <c r="H229" s="478"/>
      <c r="I229" s="478"/>
      <c r="J229" s="478"/>
      <c r="K229" s="479"/>
      <c r="L229" s="480"/>
      <c r="M229" s="480"/>
      <c r="N229" s="480"/>
      <c r="O229" s="480"/>
      <c r="P229" s="481"/>
      <c r="Q229" s="481"/>
      <c r="R229" s="413"/>
    </row>
    <row r="230" spans="1:18" s="450" customFormat="1" ht="14.1" customHeight="1" outlineLevel="2">
      <c r="A230" s="406"/>
      <c r="B230" s="482" t="s">
        <v>338</v>
      </c>
      <c r="C230" s="476"/>
      <c r="D230" s="476"/>
      <c r="E230" s="476"/>
      <c r="F230" s="476"/>
      <c r="G230" s="486"/>
      <c r="H230" s="478"/>
      <c r="I230" s="478"/>
      <c r="J230" s="478"/>
      <c r="K230" s="479"/>
      <c r="L230" s="480"/>
      <c r="M230" s="480"/>
      <c r="N230" s="480"/>
      <c r="O230" s="480"/>
      <c r="P230" s="481"/>
      <c r="Q230" s="481"/>
      <c r="R230" s="413"/>
    </row>
    <row r="231" spans="1:18" s="450" customFormat="1" ht="14.1" customHeight="1" outlineLevel="2">
      <c r="A231" s="406"/>
      <c r="B231" s="482" t="s">
        <v>339</v>
      </c>
      <c r="C231" s="476"/>
      <c r="D231" s="476"/>
      <c r="E231" s="476"/>
      <c r="F231" s="476"/>
      <c r="G231" s="487"/>
      <c r="H231" s="478"/>
      <c r="I231" s="478"/>
      <c r="J231" s="478"/>
      <c r="K231" s="479"/>
      <c r="L231" s="480"/>
      <c r="M231" s="480"/>
      <c r="N231" s="480"/>
      <c r="O231" s="480"/>
      <c r="P231" s="481"/>
      <c r="Q231" s="481"/>
      <c r="R231" s="413"/>
    </row>
    <row r="232" spans="1:18" s="450" customFormat="1" ht="14.1" customHeight="1" outlineLevel="2">
      <c r="A232" s="406"/>
      <c r="B232" s="482" t="s">
        <v>383</v>
      </c>
      <c r="C232" s="476"/>
      <c r="D232" s="476"/>
      <c r="E232" s="476"/>
      <c r="F232" s="476"/>
      <c r="G232" s="487"/>
      <c r="H232" s="478"/>
      <c r="I232" s="478"/>
      <c r="J232" s="478"/>
      <c r="K232" s="479"/>
      <c r="L232" s="480"/>
      <c r="M232" s="480"/>
      <c r="N232" s="480"/>
      <c r="O232" s="480"/>
      <c r="P232" s="481"/>
      <c r="Q232" s="481"/>
      <c r="R232" s="413"/>
    </row>
    <row r="233" spans="1:18" s="450" customFormat="1" ht="14.1" customHeight="1" outlineLevel="2">
      <c r="A233" s="406"/>
      <c r="B233" s="482" t="s">
        <v>371</v>
      </c>
      <c r="C233" s="476"/>
      <c r="D233" s="476"/>
      <c r="E233" s="476"/>
      <c r="F233" s="476"/>
      <c r="G233" s="483"/>
      <c r="H233" s="478"/>
      <c r="I233" s="478"/>
      <c r="J233" s="478"/>
      <c r="K233" s="479"/>
      <c r="L233" s="480"/>
      <c r="M233" s="480"/>
      <c r="N233" s="480"/>
      <c r="O233" s="480"/>
      <c r="P233" s="481"/>
      <c r="Q233" s="481"/>
      <c r="R233" s="413"/>
    </row>
    <row r="234" spans="1:18" s="450" customFormat="1" ht="14.1" customHeight="1" outlineLevel="2">
      <c r="A234" s="406"/>
      <c r="B234" s="482" t="s">
        <v>372</v>
      </c>
      <c r="C234" s="476"/>
      <c r="D234" s="476"/>
      <c r="E234" s="476"/>
      <c r="F234" s="476"/>
      <c r="G234" s="488"/>
      <c r="H234" s="478"/>
      <c r="I234" s="478"/>
      <c r="J234" s="478"/>
      <c r="K234" s="479"/>
      <c r="L234" s="480"/>
      <c r="M234" s="480"/>
      <c r="N234" s="480"/>
      <c r="O234" s="480"/>
      <c r="P234" s="481"/>
      <c r="Q234" s="481"/>
      <c r="R234" s="413"/>
    </row>
    <row r="235" spans="1:18" s="450" customFormat="1" ht="14.1" customHeight="1" outlineLevel="2">
      <c r="A235" s="406"/>
      <c r="B235" s="482" t="s">
        <v>384</v>
      </c>
      <c r="C235" s="476"/>
      <c r="D235" s="476"/>
      <c r="E235" s="476"/>
      <c r="F235" s="476"/>
      <c r="G235" s="489"/>
      <c r="H235" s="478"/>
      <c r="I235" s="478"/>
      <c r="J235" s="478"/>
      <c r="K235" s="479"/>
      <c r="L235" s="480"/>
      <c r="M235" s="480"/>
      <c r="N235" s="480"/>
      <c r="O235" s="480"/>
      <c r="P235" s="481"/>
      <c r="Q235" s="481"/>
      <c r="R235" s="413"/>
    </row>
    <row r="236" spans="1:18" s="450" customFormat="1" ht="14.1" customHeight="1" outlineLevel="2">
      <c r="A236" s="406"/>
      <c r="B236" s="482" t="s">
        <v>385</v>
      </c>
      <c r="C236" s="476"/>
      <c r="D236" s="476"/>
      <c r="E236" s="476"/>
      <c r="F236" s="476"/>
      <c r="G236" s="489"/>
      <c r="H236" s="478"/>
      <c r="I236" s="478"/>
      <c r="J236" s="478"/>
      <c r="K236" s="479"/>
      <c r="L236" s="480"/>
      <c r="M236" s="480"/>
      <c r="N236" s="480"/>
      <c r="O236" s="480"/>
      <c r="P236" s="481"/>
      <c r="Q236" s="481"/>
      <c r="R236" s="413"/>
    </row>
    <row r="237" spans="1:18" s="450" customFormat="1" ht="14.1" customHeight="1" outlineLevel="2">
      <c r="A237" s="406"/>
      <c r="B237" s="482" t="s">
        <v>386</v>
      </c>
      <c r="C237" s="476"/>
      <c r="D237" s="476"/>
      <c r="E237" s="476"/>
      <c r="F237" s="476"/>
      <c r="G237" s="489"/>
      <c r="H237" s="478"/>
      <c r="I237" s="478"/>
      <c r="J237" s="478"/>
      <c r="K237" s="479"/>
      <c r="L237" s="480"/>
      <c r="M237" s="480"/>
      <c r="N237" s="480"/>
      <c r="O237" s="480"/>
      <c r="P237" s="481"/>
      <c r="Q237" s="481"/>
      <c r="R237" s="413"/>
    </row>
    <row r="238" spans="1:18" s="450" customFormat="1" ht="14.1" customHeight="1" outlineLevel="2">
      <c r="A238" s="406"/>
      <c r="B238" s="482" t="s">
        <v>387</v>
      </c>
      <c r="C238" s="476"/>
      <c r="D238" s="476"/>
      <c r="E238" s="476"/>
      <c r="F238" s="476"/>
      <c r="G238" s="489"/>
      <c r="H238" s="478"/>
      <c r="I238" s="478"/>
      <c r="J238" s="478"/>
      <c r="K238" s="479"/>
      <c r="L238" s="480"/>
      <c r="M238" s="480"/>
      <c r="N238" s="480"/>
      <c r="O238" s="480"/>
      <c r="P238" s="481"/>
      <c r="Q238" s="481"/>
      <c r="R238" s="413"/>
    </row>
    <row r="239" spans="1:18" s="450" customFormat="1" ht="14.1" customHeight="1" outlineLevel="2">
      <c r="A239" s="406"/>
      <c r="B239" s="482" t="s">
        <v>388</v>
      </c>
      <c r="C239" s="476"/>
      <c r="D239" s="476"/>
      <c r="E239" s="476"/>
      <c r="F239" s="476"/>
      <c r="G239" s="489"/>
      <c r="H239" s="478"/>
      <c r="I239" s="478"/>
      <c r="J239" s="478"/>
      <c r="K239" s="479"/>
      <c r="L239" s="480"/>
      <c r="M239" s="480"/>
      <c r="N239" s="480"/>
      <c r="O239" s="480"/>
      <c r="P239" s="481"/>
      <c r="Q239" s="481"/>
      <c r="R239" s="413"/>
    </row>
    <row r="240" spans="1:18" s="450" customFormat="1" ht="14.1" customHeight="1" outlineLevel="2">
      <c r="A240" s="406"/>
      <c r="B240" s="482" t="s">
        <v>389</v>
      </c>
      <c r="C240" s="476"/>
      <c r="D240" s="476"/>
      <c r="E240" s="476"/>
      <c r="F240" s="476"/>
      <c r="G240" s="489"/>
      <c r="H240" s="478"/>
      <c r="I240" s="478"/>
      <c r="J240" s="478"/>
      <c r="K240" s="479"/>
      <c r="L240" s="480"/>
      <c r="M240" s="480"/>
      <c r="N240" s="480"/>
      <c r="O240" s="480"/>
      <c r="P240" s="481"/>
      <c r="Q240" s="481"/>
      <c r="R240" s="413"/>
    </row>
    <row r="241" spans="1:18" s="450" customFormat="1" ht="14.1" customHeight="1" outlineLevel="2">
      <c r="A241" s="406"/>
      <c r="B241" s="482" t="s">
        <v>349</v>
      </c>
      <c r="C241" s="476"/>
      <c r="D241" s="476"/>
      <c r="E241" s="476"/>
      <c r="F241" s="476"/>
      <c r="G241" s="489"/>
      <c r="H241" s="478"/>
      <c r="I241" s="478"/>
      <c r="J241" s="478"/>
      <c r="K241" s="479"/>
      <c r="L241" s="480"/>
      <c r="M241" s="480"/>
      <c r="N241" s="480"/>
      <c r="O241" s="480"/>
      <c r="P241" s="481"/>
      <c r="Q241" s="481"/>
      <c r="R241" s="413"/>
    </row>
    <row r="242" spans="1:18" s="450" customFormat="1" ht="14.1" customHeight="1" outlineLevel="2">
      <c r="A242" s="406"/>
      <c r="B242" s="482" t="s">
        <v>350</v>
      </c>
      <c r="C242" s="476"/>
      <c r="D242" s="476"/>
      <c r="E242" s="476"/>
      <c r="F242" s="476"/>
      <c r="G242" s="489"/>
      <c r="H242" s="478"/>
      <c r="I242" s="478"/>
      <c r="J242" s="478"/>
      <c r="K242" s="479"/>
      <c r="L242" s="480"/>
      <c r="M242" s="480"/>
      <c r="N242" s="480"/>
      <c r="O242" s="480"/>
      <c r="P242" s="481"/>
      <c r="Q242" s="481"/>
      <c r="R242" s="413"/>
    </row>
    <row r="243" spans="1:18" s="450" customFormat="1" ht="14.1" customHeight="1" outlineLevel="2">
      <c r="A243" s="406"/>
      <c r="B243" s="482" t="s">
        <v>351</v>
      </c>
      <c r="C243" s="476"/>
      <c r="D243" s="476"/>
      <c r="E243" s="476"/>
      <c r="F243" s="476"/>
      <c r="G243" s="489"/>
      <c r="H243" s="478"/>
      <c r="I243" s="478"/>
      <c r="J243" s="478"/>
      <c r="K243" s="479"/>
      <c r="L243" s="480"/>
      <c r="M243" s="480"/>
      <c r="N243" s="480"/>
      <c r="O243" s="480"/>
      <c r="P243" s="481"/>
      <c r="Q243" s="481"/>
      <c r="R243" s="413"/>
    </row>
    <row r="244" spans="1:18" s="450" customFormat="1" ht="14.1" customHeight="1" outlineLevel="2">
      <c r="A244" s="406"/>
      <c r="B244" s="482" t="s">
        <v>390</v>
      </c>
      <c r="C244" s="476"/>
      <c r="D244" s="476"/>
      <c r="E244" s="476"/>
      <c r="F244" s="476"/>
      <c r="G244" s="490"/>
      <c r="H244" s="478"/>
      <c r="I244" s="478"/>
      <c r="J244" s="478"/>
      <c r="K244" s="479"/>
      <c r="L244" s="480"/>
      <c r="M244" s="480"/>
      <c r="N244" s="480"/>
      <c r="O244" s="480"/>
      <c r="P244" s="481"/>
      <c r="Q244" s="481"/>
      <c r="R244" s="413"/>
    </row>
    <row r="245" spans="1:18" s="450" customFormat="1" ht="14.1" customHeight="1" outlineLevel="2">
      <c r="A245" s="406"/>
      <c r="B245" s="482" t="s">
        <v>391</v>
      </c>
      <c r="C245" s="476"/>
      <c r="D245" s="476"/>
      <c r="E245" s="476"/>
      <c r="F245" s="476"/>
      <c r="G245" s="486"/>
      <c r="H245" s="478"/>
      <c r="I245" s="478"/>
      <c r="J245" s="478"/>
      <c r="K245" s="479"/>
      <c r="L245" s="480"/>
      <c r="M245" s="480"/>
      <c r="N245" s="480"/>
      <c r="O245" s="480"/>
      <c r="P245" s="481"/>
      <c r="Q245" s="481"/>
      <c r="R245" s="413"/>
    </row>
    <row r="246" spans="1:18" s="450" customFormat="1" ht="14.1" customHeight="1" outlineLevel="2">
      <c r="A246" s="406"/>
      <c r="B246" s="491"/>
      <c r="C246" s="476"/>
      <c r="D246" s="476"/>
      <c r="E246" s="476"/>
      <c r="F246" s="476"/>
      <c r="G246" s="476"/>
      <c r="H246" s="478"/>
      <c r="I246" s="478"/>
      <c r="J246" s="478"/>
      <c r="K246" s="479"/>
      <c r="L246" s="480"/>
      <c r="M246" s="480"/>
      <c r="N246" s="480"/>
      <c r="O246" s="480"/>
      <c r="P246" s="481"/>
      <c r="Q246" s="481"/>
      <c r="R246" s="413"/>
    </row>
    <row r="247" spans="1:18" s="450" customFormat="1" ht="14.1" customHeight="1" outlineLevel="1">
      <c r="A247" s="406"/>
      <c r="B247" s="475" t="s">
        <v>392</v>
      </c>
      <c r="C247" s="476"/>
      <c r="D247" s="476"/>
      <c r="E247" s="476">
        <v>-10000000000</v>
      </c>
      <c r="F247" s="476"/>
      <c r="G247" s="477">
        <v>10000000000</v>
      </c>
      <c r="H247" s="478"/>
      <c r="I247" s="478"/>
      <c r="J247" s="478"/>
      <c r="K247" s="479"/>
      <c r="L247" s="480"/>
      <c r="M247" s="480"/>
      <c r="N247" s="480"/>
      <c r="O247" s="480"/>
      <c r="P247" s="481"/>
      <c r="Q247" s="481"/>
      <c r="R247" s="413"/>
    </row>
    <row r="248" spans="1:18" s="450" customFormat="1" ht="14.1" customHeight="1" outlineLevel="2">
      <c r="A248" s="406"/>
      <c r="B248" s="482" t="s">
        <v>334</v>
      </c>
      <c r="C248" s="476"/>
      <c r="D248" s="476"/>
      <c r="E248" s="476"/>
      <c r="F248" s="476"/>
      <c r="G248" s="479"/>
      <c r="H248" s="478"/>
      <c r="I248" s="478"/>
      <c r="J248" s="478"/>
      <c r="K248" s="479"/>
      <c r="L248" s="480"/>
      <c r="M248" s="480"/>
      <c r="N248" s="480"/>
      <c r="O248" s="480"/>
      <c r="P248" s="481"/>
      <c r="Q248" s="481"/>
      <c r="R248" s="413"/>
    </row>
    <row r="249" spans="1:18" s="450" customFormat="1" ht="14.1" customHeight="1" outlineLevel="2">
      <c r="A249" s="406"/>
      <c r="B249" s="482" t="s">
        <v>335</v>
      </c>
      <c r="C249" s="476"/>
      <c r="D249" s="476"/>
      <c r="E249" s="476"/>
      <c r="F249" s="476"/>
      <c r="G249" s="483"/>
      <c r="H249" s="478"/>
      <c r="I249" s="478"/>
      <c r="J249" s="478"/>
      <c r="K249" s="479"/>
      <c r="L249" s="480"/>
      <c r="M249" s="480"/>
      <c r="N249" s="480"/>
      <c r="O249" s="480"/>
      <c r="P249" s="481"/>
      <c r="Q249" s="481"/>
      <c r="R249" s="413"/>
    </row>
    <row r="250" spans="1:18" s="450" customFormat="1" ht="14.1" customHeight="1" outlineLevel="2">
      <c r="A250" s="406"/>
      <c r="B250" s="482" t="s">
        <v>336</v>
      </c>
      <c r="C250" s="476"/>
      <c r="D250" s="476"/>
      <c r="E250" s="476"/>
      <c r="F250" s="476"/>
      <c r="G250" s="484"/>
      <c r="H250" s="478"/>
      <c r="I250" s="478"/>
      <c r="J250" s="478"/>
      <c r="K250" s="479"/>
      <c r="L250" s="480"/>
      <c r="M250" s="480"/>
      <c r="N250" s="480"/>
      <c r="O250" s="480"/>
      <c r="P250" s="481"/>
      <c r="Q250" s="481"/>
      <c r="R250" s="413"/>
    </row>
    <row r="251" spans="1:18" s="450" customFormat="1" ht="14.1" customHeight="1" outlineLevel="2">
      <c r="A251" s="406"/>
      <c r="B251" s="482" t="s">
        <v>393</v>
      </c>
      <c r="C251" s="476"/>
      <c r="D251" s="476"/>
      <c r="E251" s="476"/>
      <c r="F251" s="476"/>
      <c r="G251" s="485"/>
      <c r="H251" s="478"/>
      <c r="I251" s="478"/>
      <c r="J251" s="478"/>
      <c r="K251" s="479"/>
      <c r="L251" s="480"/>
      <c r="M251" s="480"/>
      <c r="N251" s="480"/>
      <c r="O251" s="480"/>
      <c r="P251" s="481"/>
      <c r="Q251" s="481"/>
      <c r="R251" s="413"/>
    </row>
    <row r="252" spans="1:18" s="450" customFormat="1" ht="14.1" customHeight="1" outlineLevel="2">
      <c r="A252" s="406"/>
      <c r="B252" s="482" t="s">
        <v>338</v>
      </c>
      <c r="C252" s="476"/>
      <c r="D252" s="476"/>
      <c r="E252" s="476"/>
      <c r="F252" s="476"/>
      <c r="G252" s="486"/>
      <c r="H252" s="478"/>
      <c r="I252" s="478"/>
      <c r="J252" s="478"/>
      <c r="K252" s="479"/>
      <c r="L252" s="480"/>
      <c r="M252" s="480"/>
      <c r="N252" s="480"/>
      <c r="O252" s="480"/>
      <c r="P252" s="481"/>
      <c r="Q252" s="481"/>
      <c r="R252" s="413"/>
    </row>
    <row r="253" spans="1:18" s="450" customFormat="1" ht="14.1" customHeight="1" outlineLevel="2">
      <c r="A253" s="406"/>
      <c r="B253" s="482" t="s">
        <v>339</v>
      </c>
      <c r="C253" s="476"/>
      <c r="D253" s="476"/>
      <c r="E253" s="476"/>
      <c r="F253" s="476"/>
      <c r="G253" s="487"/>
      <c r="H253" s="478"/>
      <c r="I253" s="478"/>
      <c r="J253" s="478"/>
      <c r="K253" s="479"/>
      <c r="L253" s="480"/>
      <c r="M253" s="480"/>
      <c r="N253" s="480"/>
      <c r="O253" s="480"/>
      <c r="P253" s="481"/>
      <c r="Q253" s="481"/>
      <c r="R253" s="413"/>
    </row>
    <row r="254" spans="1:18" s="450" customFormat="1" ht="14.1" customHeight="1" outlineLevel="2">
      <c r="A254" s="406"/>
      <c r="B254" s="482" t="s">
        <v>383</v>
      </c>
      <c r="C254" s="476"/>
      <c r="D254" s="476"/>
      <c r="E254" s="476"/>
      <c r="F254" s="476"/>
      <c r="G254" s="487"/>
      <c r="H254" s="478"/>
      <c r="I254" s="478"/>
      <c r="J254" s="478"/>
      <c r="K254" s="479"/>
      <c r="L254" s="480"/>
      <c r="M254" s="480"/>
      <c r="N254" s="480"/>
      <c r="O254" s="480"/>
      <c r="P254" s="481"/>
      <c r="Q254" s="481"/>
      <c r="R254" s="413"/>
    </row>
    <row r="255" spans="1:18" s="450" customFormat="1" ht="14.1" customHeight="1" outlineLevel="2">
      <c r="A255" s="406"/>
      <c r="B255" s="482" t="s">
        <v>394</v>
      </c>
      <c r="C255" s="476"/>
      <c r="D255" s="476"/>
      <c r="E255" s="476"/>
      <c r="F255" s="476"/>
      <c r="G255" s="483"/>
      <c r="H255" s="478"/>
      <c r="I255" s="478"/>
      <c r="J255" s="478"/>
      <c r="K255" s="479"/>
      <c r="L255" s="480"/>
      <c r="M255" s="480"/>
      <c r="N255" s="480"/>
      <c r="O255" s="480"/>
      <c r="P255" s="481"/>
      <c r="Q255" s="481"/>
      <c r="R255" s="413"/>
    </row>
    <row r="256" spans="1:18" s="450" customFormat="1" ht="14.1" customHeight="1" outlineLevel="2">
      <c r="A256" s="406"/>
      <c r="B256" s="482" t="s">
        <v>395</v>
      </c>
      <c r="C256" s="476"/>
      <c r="D256" s="476"/>
      <c r="E256" s="476"/>
      <c r="F256" s="476"/>
      <c r="G256" s="488"/>
      <c r="H256" s="478"/>
      <c r="I256" s="478"/>
      <c r="J256" s="478"/>
      <c r="K256" s="479"/>
      <c r="L256" s="480"/>
      <c r="M256" s="480"/>
      <c r="N256" s="480"/>
      <c r="O256" s="480"/>
      <c r="P256" s="481"/>
      <c r="Q256" s="481"/>
      <c r="R256" s="413"/>
    </row>
    <row r="257" spans="1:18" s="450" customFormat="1" ht="14.1" customHeight="1" outlineLevel="2">
      <c r="A257" s="406"/>
      <c r="B257" s="482" t="s">
        <v>396</v>
      </c>
      <c r="C257" s="476"/>
      <c r="D257" s="476"/>
      <c r="E257" s="476"/>
      <c r="F257" s="476"/>
      <c r="G257" s="489"/>
      <c r="H257" s="478"/>
      <c r="I257" s="478"/>
      <c r="J257" s="478"/>
      <c r="K257" s="479"/>
      <c r="L257" s="480"/>
      <c r="M257" s="480"/>
      <c r="N257" s="480"/>
      <c r="O257" s="480"/>
      <c r="P257" s="481"/>
      <c r="Q257" s="481"/>
      <c r="R257" s="413"/>
    </row>
    <row r="258" spans="1:18" s="450" customFormat="1" ht="14.1" customHeight="1" outlineLevel="2">
      <c r="A258" s="406"/>
      <c r="B258" s="482" t="s">
        <v>397</v>
      </c>
      <c r="C258" s="476"/>
      <c r="D258" s="476"/>
      <c r="E258" s="476"/>
      <c r="F258" s="476"/>
      <c r="G258" s="489"/>
      <c r="H258" s="478"/>
      <c r="I258" s="478"/>
      <c r="J258" s="478"/>
      <c r="K258" s="479"/>
      <c r="L258" s="480"/>
      <c r="M258" s="480"/>
      <c r="N258" s="480"/>
      <c r="O258" s="480"/>
      <c r="P258" s="481"/>
      <c r="Q258" s="481"/>
      <c r="R258" s="413"/>
    </row>
    <row r="259" spans="1:18" s="450" customFormat="1" ht="14.1" customHeight="1" outlineLevel="2">
      <c r="A259" s="406"/>
      <c r="B259" s="482" t="s">
        <v>398</v>
      </c>
      <c r="C259" s="476"/>
      <c r="D259" s="476"/>
      <c r="E259" s="476"/>
      <c r="F259" s="476"/>
      <c r="G259" s="489"/>
      <c r="H259" s="478"/>
      <c r="I259" s="478"/>
      <c r="J259" s="478"/>
      <c r="K259" s="479"/>
      <c r="L259" s="480"/>
      <c r="M259" s="480"/>
      <c r="N259" s="480"/>
      <c r="O259" s="480"/>
      <c r="P259" s="481"/>
      <c r="Q259" s="481"/>
      <c r="R259" s="413"/>
    </row>
    <row r="260" spans="1:18" s="450" customFormat="1" ht="14.1" customHeight="1" outlineLevel="2">
      <c r="A260" s="406"/>
      <c r="B260" s="482" t="s">
        <v>399</v>
      </c>
      <c r="C260" s="476"/>
      <c r="D260" s="476"/>
      <c r="E260" s="476"/>
      <c r="F260" s="476"/>
      <c r="G260" s="489"/>
      <c r="H260" s="478"/>
      <c r="I260" s="478"/>
      <c r="J260" s="478"/>
      <c r="K260" s="479"/>
      <c r="L260" s="480"/>
      <c r="M260" s="480"/>
      <c r="N260" s="480"/>
      <c r="O260" s="480"/>
      <c r="P260" s="481"/>
      <c r="Q260" s="481"/>
      <c r="R260" s="413"/>
    </row>
    <row r="261" spans="1:18" s="450" customFormat="1" ht="14.1" customHeight="1" outlineLevel="2">
      <c r="A261" s="406"/>
      <c r="B261" s="482" t="s">
        <v>400</v>
      </c>
      <c r="C261" s="476"/>
      <c r="D261" s="476"/>
      <c r="E261" s="476"/>
      <c r="F261" s="476"/>
      <c r="G261" s="489"/>
      <c r="H261" s="478"/>
      <c r="I261" s="478"/>
      <c r="J261" s="478"/>
      <c r="K261" s="479"/>
      <c r="L261" s="480"/>
      <c r="M261" s="480"/>
      <c r="N261" s="480"/>
      <c r="O261" s="480"/>
      <c r="P261" s="481"/>
      <c r="Q261" s="481"/>
      <c r="R261" s="413"/>
    </row>
    <row r="262" spans="1:18" s="450" customFormat="1" ht="14.1" customHeight="1" outlineLevel="2">
      <c r="A262" s="406"/>
      <c r="B262" s="482" t="s">
        <v>349</v>
      </c>
      <c r="C262" s="476"/>
      <c r="D262" s="476"/>
      <c r="E262" s="476"/>
      <c r="F262" s="476"/>
      <c r="G262" s="489"/>
      <c r="H262" s="478"/>
      <c r="I262" s="478"/>
      <c r="J262" s="478"/>
      <c r="K262" s="479"/>
      <c r="L262" s="480"/>
      <c r="M262" s="480"/>
      <c r="N262" s="480"/>
      <c r="O262" s="480"/>
      <c r="P262" s="481"/>
      <c r="Q262" s="481"/>
      <c r="R262" s="413"/>
    </row>
    <row r="263" spans="1:18" s="450" customFormat="1" ht="14.1" customHeight="1" outlineLevel="2">
      <c r="A263" s="406"/>
      <c r="B263" s="482" t="s">
        <v>350</v>
      </c>
      <c r="C263" s="476"/>
      <c r="D263" s="476"/>
      <c r="E263" s="476"/>
      <c r="F263" s="476"/>
      <c r="G263" s="489"/>
      <c r="H263" s="478"/>
      <c r="I263" s="478"/>
      <c r="J263" s="478"/>
      <c r="K263" s="479"/>
      <c r="L263" s="480"/>
      <c r="M263" s="480"/>
      <c r="N263" s="480"/>
      <c r="O263" s="480"/>
      <c r="P263" s="481"/>
      <c r="Q263" s="481"/>
      <c r="R263" s="413"/>
    </row>
    <row r="264" spans="1:18" s="450" customFormat="1" ht="14.1" customHeight="1" outlineLevel="2">
      <c r="A264" s="406"/>
      <c r="B264" s="482" t="s">
        <v>351</v>
      </c>
      <c r="C264" s="476"/>
      <c r="D264" s="476"/>
      <c r="E264" s="476"/>
      <c r="F264" s="476"/>
      <c r="G264" s="489"/>
      <c r="H264" s="478"/>
      <c r="I264" s="478"/>
      <c r="J264" s="478"/>
      <c r="K264" s="479"/>
      <c r="L264" s="480"/>
      <c r="M264" s="480"/>
      <c r="N264" s="480"/>
      <c r="O264" s="480"/>
      <c r="P264" s="481"/>
      <c r="Q264" s="481"/>
      <c r="R264" s="413"/>
    </row>
    <row r="265" spans="1:18" s="450" customFormat="1" ht="14.1" customHeight="1" outlineLevel="2">
      <c r="A265" s="406"/>
      <c r="B265" s="482" t="s">
        <v>401</v>
      </c>
      <c r="C265" s="476"/>
      <c r="D265" s="476"/>
      <c r="E265" s="476"/>
      <c r="F265" s="476"/>
      <c r="G265" s="489"/>
      <c r="H265" s="478"/>
      <c r="I265" s="478"/>
      <c r="J265" s="478"/>
      <c r="K265" s="479"/>
      <c r="L265" s="480"/>
      <c r="M265" s="480"/>
      <c r="N265" s="480"/>
      <c r="O265" s="480"/>
      <c r="P265" s="481"/>
      <c r="Q265" s="481"/>
      <c r="R265" s="413"/>
    </row>
    <row r="266" spans="1:18" s="450" customFormat="1" ht="14.1" customHeight="1" outlineLevel="2">
      <c r="A266" s="406"/>
      <c r="B266" s="482" t="s">
        <v>402</v>
      </c>
      <c r="C266" s="476"/>
      <c r="D266" s="476"/>
      <c r="E266" s="476"/>
      <c r="F266" s="476"/>
      <c r="G266" s="490"/>
      <c r="H266" s="478"/>
      <c r="I266" s="478"/>
      <c r="J266" s="478"/>
      <c r="K266" s="479"/>
      <c r="L266" s="480"/>
      <c r="M266" s="480"/>
      <c r="N266" s="480"/>
      <c r="O266" s="480"/>
      <c r="P266" s="481"/>
      <c r="Q266" s="481"/>
      <c r="R266" s="413"/>
    </row>
    <row r="267" spans="1:18" s="450" customFormat="1" ht="14.1" customHeight="1" outlineLevel="2">
      <c r="A267" s="406"/>
      <c r="B267" s="491"/>
      <c r="C267" s="476"/>
      <c r="D267" s="476"/>
      <c r="E267" s="476"/>
      <c r="F267" s="476"/>
      <c r="G267" s="490"/>
      <c r="H267" s="478"/>
      <c r="I267" s="478"/>
      <c r="J267" s="478"/>
      <c r="K267" s="479"/>
      <c r="L267" s="480"/>
      <c r="M267" s="480"/>
      <c r="N267" s="480"/>
      <c r="O267" s="480"/>
      <c r="P267" s="481"/>
      <c r="Q267" s="481"/>
      <c r="R267" s="413"/>
    </row>
    <row r="268" spans="1:18" s="450" customFormat="1" ht="14.1" customHeight="1" outlineLevel="1">
      <c r="A268" s="406"/>
      <c r="B268" s="475" t="s">
        <v>403</v>
      </c>
      <c r="C268" s="476"/>
      <c r="D268" s="477"/>
      <c r="E268" s="477"/>
      <c r="F268" s="477">
        <v>-10000000000</v>
      </c>
      <c r="G268" s="477">
        <v>10000000000</v>
      </c>
      <c r="H268" s="478"/>
      <c r="I268" s="478"/>
      <c r="J268" s="478"/>
      <c r="K268" s="479"/>
      <c r="L268" s="480"/>
      <c r="M268" s="480"/>
      <c r="N268" s="480"/>
      <c r="O268" s="480"/>
      <c r="P268" s="481"/>
      <c r="Q268" s="481"/>
      <c r="R268" s="413"/>
    </row>
    <row r="269" spans="1:18" s="450" customFormat="1" ht="14.1" customHeight="1" outlineLevel="2">
      <c r="A269" s="406"/>
      <c r="B269" s="482" t="s">
        <v>334</v>
      </c>
      <c r="C269" s="476"/>
      <c r="D269" s="476"/>
      <c r="E269" s="476"/>
      <c r="F269" s="476"/>
      <c r="G269" s="479"/>
      <c r="H269" s="478"/>
      <c r="I269" s="478"/>
      <c r="J269" s="478"/>
      <c r="K269" s="479"/>
      <c r="L269" s="480"/>
      <c r="M269" s="480"/>
      <c r="N269" s="480"/>
      <c r="O269" s="480"/>
      <c r="P269" s="481"/>
      <c r="Q269" s="481"/>
      <c r="R269" s="413"/>
    </row>
    <row r="270" spans="1:18" s="450" customFormat="1" ht="14.1" customHeight="1" outlineLevel="2">
      <c r="A270" s="406"/>
      <c r="B270" s="482" t="s">
        <v>335</v>
      </c>
      <c r="C270" s="476"/>
      <c r="D270" s="476"/>
      <c r="E270" s="476"/>
      <c r="F270" s="476"/>
      <c r="G270" s="483"/>
      <c r="H270" s="478"/>
      <c r="I270" s="478"/>
      <c r="J270" s="478"/>
      <c r="K270" s="479"/>
      <c r="L270" s="480"/>
      <c r="M270" s="480"/>
      <c r="N270" s="480"/>
      <c r="O270" s="480"/>
      <c r="P270" s="481"/>
      <c r="Q270" s="481"/>
      <c r="R270" s="413"/>
    </row>
    <row r="271" spans="1:18" s="450" customFormat="1" ht="14.1" customHeight="1" outlineLevel="2">
      <c r="A271" s="406"/>
      <c r="B271" s="482" t="s">
        <v>336</v>
      </c>
      <c r="C271" s="476"/>
      <c r="D271" s="476"/>
      <c r="E271" s="476"/>
      <c r="F271" s="476"/>
      <c r="G271" s="484"/>
      <c r="H271" s="478"/>
      <c r="I271" s="478"/>
      <c r="J271" s="478"/>
      <c r="K271" s="479"/>
      <c r="L271" s="480"/>
      <c r="M271" s="480"/>
      <c r="N271" s="480"/>
      <c r="O271" s="480"/>
      <c r="P271" s="481"/>
      <c r="Q271" s="481"/>
      <c r="R271" s="413"/>
    </row>
    <row r="272" spans="1:18" s="450" customFormat="1" ht="14.1" customHeight="1" outlineLevel="2">
      <c r="A272" s="406"/>
      <c r="B272" s="482" t="s">
        <v>404</v>
      </c>
      <c r="C272" s="476"/>
      <c r="D272" s="476"/>
      <c r="E272" s="476"/>
      <c r="F272" s="476"/>
      <c r="G272" s="485"/>
      <c r="H272" s="478"/>
      <c r="I272" s="478"/>
      <c r="J272" s="478"/>
      <c r="K272" s="479"/>
      <c r="L272" s="480"/>
      <c r="M272" s="480"/>
      <c r="N272" s="480"/>
      <c r="O272" s="480"/>
      <c r="P272" s="481"/>
      <c r="Q272" s="481"/>
      <c r="R272" s="413"/>
    </row>
    <row r="273" spans="1:18" s="450" customFormat="1" ht="14.1" customHeight="1" outlineLevel="2">
      <c r="A273" s="406"/>
      <c r="B273" s="482" t="s">
        <v>338</v>
      </c>
      <c r="C273" s="476"/>
      <c r="D273" s="476"/>
      <c r="E273" s="476"/>
      <c r="F273" s="476"/>
      <c r="G273" s="486"/>
      <c r="H273" s="478"/>
      <c r="I273" s="478"/>
      <c r="J273" s="478"/>
      <c r="K273" s="479"/>
      <c r="L273" s="480"/>
      <c r="M273" s="480"/>
      <c r="N273" s="480"/>
      <c r="O273" s="480"/>
      <c r="P273" s="481"/>
      <c r="Q273" s="481"/>
      <c r="R273" s="413"/>
    </row>
    <row r="274" spans="1:18" s="450" customFormat="1" ht="14.1" customHeight="1" outlineLevel="2">
      <c r="A274" s="406"/>
      <c r="B274" s="482" t="s">
        <v>405</v>
      </c>
      <c r="C274" s="476"/>
      <c r="D274" s="476"/>
      <c r="E274" s="476"/>
      <c r="F274" s="476"/>
      <c r="G274" s="487"/>
      <c r="H274" s="478"/>
      <c r="I274" s="478"/>
      <c r="J274" s="478"/>
      <c r="K274" s="479"/>
      <c r="L274" s="480"/>
      <c r="M274" s="480"/>
      <c r="N274" s="480"/>
      <c r="O274" s="480"/>
      <c r="P274" s="481"/>
      <c r="Q274" s="481"/>
      <c r="R274" s="413"/>
    </row>
    <row r="275" spans="1:18" s="450" customFormat="1" ht="14.1" customHeight="1" outlineLevel="2">
      <c r="A275" s="406"/>
      <c r="B275" s="482" t="s">
        <v>406</v>
      </c>
      <c r="C275" s="476"/>
      <c r="D275" s="476"/>
      <c r="E275" s="476"/>
      <c r="F275" s="476"/>
      <c r="G275" s="487"/>
      <c r="H275" s="478"/>
      <c r="I275" s="478"/>
      <c r="J275" s="478"/>
      <c r="K275" s="479"/>
      <c r="L275" s="480"/>
      <c r="M275" s="480"/>
      <c r="N275" s="480"/>
      <c r="O275" s="480"/>
      <c r="P275" s="481"/>
      <c r="Q275" s="481"/>
      <c r="R275" s="413"/>
    </row>
    <row r="276" spans="1:18" s="450" customFormat="1" ht="14.1" customHeight="1" outlineLevel="2">
      <c r="A276" s="406"/>
      <c r="B276" s="482" t="s">
        <v>407</v>
      </c>
      <c r="C276" s="476"/>
      <c r="D276" s="476"/>
      <c r="E276" s="476"/>
      <c r="F276" s="476"/>
      <c r="G276" s="483"/>
      <c r="H276" s="478"/>
      <c r="I276" s="478"/>
      <c r="J276" s="478"/>
      <c r="K276" s="479"/>
      <c r="L276" s="480"/>
      <c r="M276" s="480"/>
      <c r="N276" s="480"/>
      <c r="O276" s="480"/>
      <c r="P276" s="481"/>
      <c r="Q276" s="481"/>
      <c r="R276" s="413"/>
    </row>
    <row r="277" spans="1:18" s="450" customFormat="1" ht="14.1" customHeight="1" outlineLevel="2">
      <c r="A277" s="406"/>
      <c r="B277" s="482" t="s">
        <v>408</v>
      </c>
      <c r="C277" s="476"/>
      <c r="D277" s="476"/>
      <c r="E277" s="476"/>
      <c r="F277" s="476"/>
      <c r="G277" s="488"/>
      <c r="H277" s="478"/>
      <c r="I277" s="478"/>
      <c r="J277" s="478"/>
      <c r="K277" s="479"/>
      <c r="L277" s="480"/>
      <c r="M277" s="480"/>
      <c r="N277" s="480"/>
      <c r="O277" s="480"/>
      <c r="P277" s="481"/>
      <c r="Q277" s="481"/>
      <c r="R277" s="413"/>
    </row>
    <row r="278" spans="1:18" s="450" customFormat="1" ht="14.1" customHeight="1" outlineLevel="2">
      <c r="A278" s="406"/>
      <c r="B278" s="482" t="s">
        <v>396</v>
      </c>
      <c r="C278" s="476"/>
      <c r="D278" s="476"/>
      <c r="E278" s="476"/>
      <c r="F278" s="476"/>
      <c r="G278" s="489"/>
      <c r="H278" s="478"/>
      <c r="I278" s="478"/>
      <c r="J278" s="478"/>
      <c r="K278" s="479"/>
      <c r="L278" s="480"/>
      <c r="M278" s="480"/>
      <c r="N278" s="480"/>
      <c r="O278" s="480"/>
      <c r="P278" s="481"/>
      <c r="Q278" s="481"/>
      <c r="R278" s="413"/>
    </row>
    <row r="279" spans="1:18" s="450" customFormat="1" ht="14.1" customHeight="1" outlineLevel="2">
      <c r="A279" s="406"/>
      <c r="B279" s="482" t="s">
        <v>409</v>
      </c>
      <c r="C279" s="476"/>
      <c r="D279" s="476"/>
      <c r="E279" s="476"/>
      <c r="F279" s="476"/>
      <c r="G279" s="489"/>
      <c r="H279" s="478"/>
      <c r="I279" s="478"/>
      <c r="J279" s="478"/>
      <c r="K279" s="479"/>
      <c r="L279" s="480"/>
      <c r="M279" s="480"/>
      <c r="N279" s="480"/>
      <c r="O279" s="480"/>
      <c r="P279" s="481"/>
      <c r="Q279" s="481"/>
      <c r="R279" s="413"/>
    </row>
    <row r="280" spans="1:18" s="450" customFormat="1" ht="14.1" customHeight="1" outlineLevel="2">
      <c r="A280" s="406"/>
      <c r="B280" s="482" t="s">
        <v>410</v>
      </c>
      <c r="C280" s="476"/>
      <c r="D280" s="476"/>
      <c r="E280" s="476"/>
      <c r="F280" s="476"/>
      <c r="G280" s="489"/>
      <c r="H280" s="478"/>
      <c r="I280" s="478"/>
      <c r="J280" s="478"/>
      <c r="K280" s="479"/>
      <c r="L280" s="480"/>
      <c r="M280" s="480"/>
      <c r="N280" s="480"/>
      <c r="O280" s="480"/>
      <c r="P280" s="481"/>
      <c r="Q280" s="481"/>
      <c r="R280" s="413"/>
    </row>
    <row r="281" spans="1:18" s="450" customFormat="1" ht="14.1" customHeight="1" outlineLevel="2">
      <c r="A281" s="406"/>
      <c r="B281" s="482" t="s">
        <v>411</v>
      </c>
      <c r="C281" s="476"/>
      <c r="D281" s="476"/>
      <c r="E281" s="476"/>
      <c r="F281" s="476"/>
      <c r="G281" s="489"/>
      <c r="H281" s="478"/>
      <c r="I281" s="478"/>
      <c r="J281" s="478"/>
      <c r="K281" s="479"/>
      <c r="L281" s="480"/>
      <c r="M281" s="480"/>
      <c r="N281" s="480"/>
      <c r="O281" s="480"/>
      <c r="P281" s="481"/>
      <c r="Q281" s="481"/>
      <c r="R281" s="413"/>
    </row>
    <row r="282" spans="1:18" s="450" customFormat="1" ht="14.1" customHeight="1" outlineLevel="2">
      <c r="A282" s="406"/>
      <c r="B282" s="482" t="s">
        <v>412</v>
      </c>
      <c r="C282" s="476"/>
      <c r="D282" s="476"/>
      <c r="E282" s="476"/>
      <c r="F282" s="476"/>
      <c r="G282" s="489"/>
      <c r="H282" s="478"/>
      <c r="I282" s="478"/>
      <c r="J282" s="478"/>
      <c r="K282" s="479"/>
      <c r="L282" s="480"/>
      <c r="M282" s="480"/>
      <c r="N282" s="480"/>
      <c r="O282" s="480"/>
      <c r="P282" s="481"/>
      <c r="Q282" s="481"/>
      <c r="R282" s="413"/>
    </row>
    <row r="283" spans="1:18" s="450" customFormat="1" ht="14.1" customHeight="1" outlineLevel="2">
      <c r="A283" s="406"/>
      <c r="B283" s="482" t="s">
        <v>413</v>
      </c>
      <c r="C283" s="476"/>
      <c r="D283" s="476"/>
      <c r="E283" s="476"/>
      <c r="F283" s="476"/>
      <c r="G283" s="489"/>
      <c r="H283" s="478"/>
      <c r="I283" s="478"/>
      <c r="J283" s="478"/>
      <c r="K283" s="479"/>
      <c r="L283" s="480"/>
      <c r="M283" s="480"/>
      <c r="N283" s="480"/>
      <c r="O283" s="480"/>
      <c r="P283" s="481"/>
      <c r="Q283" s="481"/>
      <c r="R283" s="413"/>
    </row>
    <row r="284" spans="1:18" s="450" customFormat="1" ht="14.1" customHeight="1" outlineLevel="2">
      <c r="A284" s="406"/>
      <c r="B284" s="482" t="s">
        <v>414</v>
      </c>
      <c r="C284" s="476"/>
      <c r="D284" s="476"/>
      <c r="E284" s="476"/>
      <c r="F284" s="476"/>
      <c r="G284" s="489"/>
      <c r="H284" s="478"/>
      <c r="I284" s="478"/>
      <c r="J284" s="478"/>
      <c r="K284" s="479"/>
      <c r="L284" s="480"/>
      <c r="M284" s="480"/>
      <c r="N284" s="480"/>
      <c r="O284" s="480"/>
      <c r="P284" s="481"/>
      <c r="Q284" s="481"/>
      <c r="R284" s="413"/>
    </row>
    <row r="285" spans="1:18" s="450" customFormat="1" ht="14.1" customHeight="1" outlineLevel="2">
      <c r="A285" s="406"/>
      <c r="B285" s="482" t="s">
        <v>415</v>
      </c>
      <c r="C285" s="476"/>
      <c r="D285" s="476"/>
      <c r="E285" s="476"/>
      <c r="F285" s="476"/>
      <c r="G285" s="489"/>
      <c r="H285" s="478"/>
      <c r="I285" s="478"/>
      <c r="J285" s="478"/>
      <c r="K285" s="479"/>
      <c r="L285" s="480"/>
      <c r="M285" s="480"/>
      <c r="N285" s="480"/>
      <c r="O285" s="480"/>
      <c r="P285" s="481"/>
      <c r="Q285" s="481"/>
      <c r="R285" s="413"/>
    </row>
    <row r="286" spans="1:18" s="450" customFormat="1" ht="14.1" customHeight="1" outlineLevel="2">
      <c r="A286" s="406"/>
      <c r="B286" s="482" t="s">
        <v>416</v>
      </c>
      <c r="C286" s="476"/>
      <c r="D286" s="476"/>
      <c r="E286" s="476"/>
      <c r="F286" s="476"/>
      <c r="G286" s="489"/>
      <c r="H286" s="478"/>
      <c r="I286" s="478"/>
      <c r="J286" s="478"/>
      <c r="K286" s="479"/>
      <c r="L286" s="480"/>
      <c r="M286" s="480"/>
      <c r="N286" s="480"/>
      <c r="O286" s="480"/>
      <c r="P286" s="481"/>
      <c r="Q286" s="481"/>
      <c r="R286" s="413"/>
    </row>
    <row r="287" spans="1:18" s="450" customFormat="1" ht="14.1" customHeight="1" outlineLevel="2">
      <c r="A287" s="406"/>
      <c r="B287" s="482" t="s">
        <v>417</v>
      </c>
      <c r="C287" s="476"/>
      <c r="D287" s="476"/>
      <c r="E287" s="476"/>
      <c r="F287" s="476"/>
      <c r="G287" s="490"/>
      <c r="H287" s="478"/>
      <c r="I287" s="478"/>
      <c r="J287" s="478"/>
      <c r="K287" s="479"/>
      <c r="L287" s="480"/>
      <c r="M287" s="480"/>
      <c r="N287" s="480"/>
      <c r="O287" s="480"/>
      <c r="P287" s="481"/>
      <c r="Q287" s="481"/>
      <c r="R287" s="413"/>
    </row>
    <row r="288" spans="1:18" s="450" customFormat="1" ht="14.1" customHeight="1" outlineLevel="2">
      <c r="A288" s="406"/>
      <c r="B288" s="491"/>
      <c r="C288" s="476"/>
      <c r="D288" s="476"/>
      <c r="E288" s="476"/>
      <c r="F288" s="476"/>
      <c r="G288" s="476"/>
      <c r="H288" s="478"/>
      <c r="I288" s="478"/>
      <c r="J288" s="478"/>
      <c r="K288" s="479"/>
      <c r="L288" s="480"/>
      <c r="M288" s="480"/>
      <c r="N288" s="480"/>
      <c r="O288" s="480"/>
      <c r="P288" s="481"/>
      <c r="Q288" s="481"/>
      <c r="R288" s="413"/>
    </row>
    <row r="289" spans="1:18" s="450" customFormat="1" ht="14.1" customHeight="1" outlineLevel="1">
      <c r="A289" s="406"/>
      <c r="B289" s="475" t="s">
        <v>418</v>
      </c>
      <c r="C289" s="476"/>
      <c r="D289" s="477"/>
      <c r="E289" s="477"/>
      <c r="F289" s="477">
        <v>-5000000000</v>
      </c>
      <c r="G289" s="477">
        <v>5000000000</v>
      </c>
      <c r="H289" s="478"/>
      <c r="I289" s="478"/>
      <c r="J289" s="478"/>
      <c r="K289" s="479"/>
      <c r="L289" s="480"/>
      <c r="M289" s="480"/>
      <c r="N289" s="480"/>
      <c r="O289" s="480"/>
      <c r="P289" s="481"/>
      <c r="Q289" s="481"/>
      <c r="R289" s="413"/>
    </row>
    <row r="290" spans="1:18" s="450" customFormat="1" ht="14.1" customHeight="1" outlineLevel="2">
      <c r="A290" s="406"/>
      <c r="B290" s="482" t="s">
        <v>419</v>
      </c>
      <c r="C290" s="476"/>
      <c r="D290" s="476"/>
      <c r="E290" s="476"/>
      <c r="F290" s="476"/>
      <c r="G290" s="479"/>
      <c r="H290" s="478"/>
      <c r="I290" s="478"/>
      <c r="J290" s="478"/>
      <c r="K290" s="479"/>
      <c r="L290" s="480"/>
      <c r="M290" s="480"/>
      <c r="N290" s="480"/>
      <c r="O290" s="480"/>
      <c r="P290" s="481"/>
      <c r="Q290" s="481"/>
      <c r="R290" s="413"/>
    </row>
    <row r="291" spans="1:18" s="450" customFormat="1" ht="14.1" customHeight="1" outlineLevel="2">
      <c r="A291" s="406"/>
      <c r="B291" s="482" t="s">
        <v>335</v>
      </c>
      <c r="C291" s="476"/>
      <c r="D291" s="476"/>
      <c r="E291" s="476"/>
      <c r="F291" s="476"/>
      <c r="G291" s="483"/>
      <c r="H291" s="478"/>
      <c r="I291" s="478"/>
      <c r="J291" s="478"/>
      <c r="K291" s="479"/>
      <c r="L291" s="480"/>
      <c r="M291" s="480"/>
      <c r="N291" s="480"/>
      <c r="O291" s="480"/>
      <c r="P291" s="481"/>
      <c r="Q291" s="481"/>
      <c r="R291" s="413"/>
    </row>
    <row r="292" spans="1:18" s="450" customFormat="1" ht="14.1" customHeight="1" outlineLevel="2">
      <c r="A292" s="406"/>
      <c r="B292" s="482" t="s">
        <v>336</v>
      </c>
      <c r="C292" s="476"/>
      <c r="D292" s="476"/>
      <c r="E292" s="476"/>
      <c r="F292" s="476"/>
      <c r="G292" s="484"/>
      <c r="H292" s="478"/>
      <c r="I292" s="478"/>
      <c r="J292" s="478"/>
      <c r="K292" s="479"/>
      <c r="L292" s="480"/>
      <c r="M292" s="480"/>
      <c r="N292" s="480"/>
      <c r="O292" s="480"/>
      <c r="P292" s="481"/>
      <c r="Q292" s="481"/>
      <c r="R292" s="413"/>
    </row>
    <row r="293" spans="1:18" s="450" customFormat="1" ht="14.1" customHeight="1" outlineLevel="2">
      <c r="A293" s="406"/>
      <c r="B293" s="482" t="s">
        <v>420</v>
      </c>
      <c r="C293" s="476"/>
      <c r="D293" s="476"/>
      <c r="E293" s="476"/>
      <c r="F293" s="476"/>
      <c r="G293" s="485"/>
      <c r="H293" s="478"/>
      <c r="I293" s="478"/>
      <c r="J293" s="478"/>
      <c r="K293" s="479"/>
      <c r="L293" s="480"/>
      <c r="M293" s="480"/>
      <c r="N293" s="480"/>
      <c r="O293" s="480"/>
      <c r="P293" s="481"/>
      <c r="Q293" s="481"/>
      <c r="R293" s="413"/>
    </row>
    <row r="294" spans="1:18" s="450" customFormat="1" ht="14.1" customHeight="1" outlineLevel="2">
      <c r="A294" s="406"/>
      <c r="B294" s="482" t="s">
        <v>338</v>
      </c>
      <c r="C294" s="476"/>
      <c r="D294" s="476"/>
      <c r="E294" s="476"/>
      <c r="F294" s="476"/>
      <c r="G294" s="486"/>
      <c r="H294" s="478"/>
      <c r="I294" s="478"/>
      <c r="J294" s="478"/>
      <c r="K294" s="479"/>
      <c r="L294" s="480"/>
      <c r="M294" s="480"/>
      <c r="N294" s="480"/>
      <c r="O294" s="480"/>
      <c r="P294" s="481"/>
      <c r="Q294" s="481"/>
      <c r="R294" s="413"/>
    </row>
    <row r="295" spans="1:18" s="450" customFormat="1" ht="14.1" customHeight="1" outlineLevel="2">
      <c r="A295" s="406"/>
      <c r="B295" s="482" t="s">
        <v>421</v>
      </c>
      <c r="C295" s="476"/>
      <c r="D295" s="476"/>
      <c r="E295" s="476"/>
      <c r="F295" s="476"/>
      <c r="G295" s="487"/>
      <c r="H295" s="478"/>
      <c r="I295" s="478"/>
      <c r="J295" s="478"/>
      <c r="K295" s="479"/>
      <c r="L295" s="480"/>
      <c r="M295" s="480"/>
      <c r="N295" s="480"/>
      <c r="O295" s="480"/>
      <c r="P295" s="481"/>
      <c r="Q295" s="481"/>
      <c r="R295" s="413"/>
    </row>
    <row r="296" spans="1:18" s="450" customFormat="1" ht="14.1" customHeight="1" outlineLevel="2">
      <c r="A296" s="406"/>
      <c r="B296" s="482" t="s">
        <v>422</v>
      </c>
      <c r="C296" s="476"/>
      <c r="D296" s="476"/>
      <c r="E296" s="476"/>
      <c r="F296" s="476"/>
      <c r="G296" s="487"/>
      <c r="H296" s="478"/>
      <c r="I296" s="478"/>
      <c r="J296" s="478"/>
      <c r="K296" s="479"/>
      <c r="L296" s="480"/>
      <c r="M296" s="480"/>
      <c r="N296" s="480"/>
      <c r="O296" s="480"/>
      <c r="P296" s="481"/>
      <c r="Q296" s="481"/>
      <c r="R296" s="413"/>
    </row>
    <row r="297" spans="1:18" s="450" customFormat="1" ht="14.1" customHeight="1" outlineLevel="2">
      <c r="A297" s="406"/>
      <c r="B297" s="482" t="s">
        <v>423</v>
      </c>
      <c r="C297" s="476"/>
      <c r="D297" s="476"/>
      <c r="E297" s="476"/>
      <c r="F297" s="476"/>
      <c r="G297" s="483"/>
      <c r="H297" s="478"/>
      <c r="I297" s="478"/>
      <c r="J297" s="478"/>
      <c r="K297" s="479"/>
      <c r="L297" s="480"/>
      <c r="M297" s="480"/>
      <c r="N297" s="480"/>
      <c r="O297" s="480"/>
      <c r="P297" s="481"/>
      <c r="Q297" s="481"/>
      <c r="R297" s="413"/>
    </row>
    <row r="298" spans="1:18" s="450" customFormat="1" ht="14.1" customHeight="1" outlineLevel="2">
      <c r="A298" s="406"/>
      <c r="B298" s="482" t="s">
        <v>424</v>
      </c>
      <c r="C298" s="476"/>
      <c r="D298" s="476"/>
      <c r="E298" s="476"/>
      <c r="F298" s="476"/>
      <c r="G298" s="488"/>
      <c r="H298" s="478"/>
      <c r="I298" s="478"/>
      <c r="J298" s="478"/>
      <c r="K298" s="479"/>
      <c r="L298" s="480"/>
      <c r="M298" s="480"/>
      <c r="N298" s="480"/>
      <c r="O298" s="480"/>
      <c r="P298" s="481"/>
      <c r="Q298" s="481"/>
      <c r="R298" s="413"/>
    </row>
    <row r="299" spans="1:18" s="450" customFormat="1" ht="14.1" customHeight="1" outlineLevel="2">
      <c r="A299" s="406"/>
      <c r="B299" s="482" t="s">
        <v>425</v>
      </c>
      <c r="C299" s="476"/>
      <c r="D299" s="476"/>
      <c r="E299" s="476"/>
      <c r="F299" s="476"/>
      <c r="G299" s="489"/>
      <c r="H299" s="478"/>
      <c r="I299" s="478"/>
      <c r="J299" s="478"/>
      <c r="K299" s="479"/>
      <c r="L299" s="480"/>
      <c r="M299" s="480"/>
      <c r="N299" s="480"/>
      <c r="O299" s="480"/>
      <c r="P299" s="481"/>
      <c r="Q299" s="481"/>
      <c r="R299" s="413"/>
    </row>
    <row r="300" spans="1:18" s="450" customFormat="1" ht="14.1" customHeight="1" outlineLevel="2">
      <c r="A300" s="406"/>
      <c r="B300" s="482" t="s">
        <v>426</v>
      </c>
      <c r="C300" s="476"/>
      <c r="D300" s="476"/>
      <c r="E300" s="476"/>
      <c r="F300" s="476"/>
      <c r="G300" s="489"/>
      <c r="H300" s="478"/>
      <c r="I300" s="478"/>
      <c r="J300" s="478"/>
      <c r="K300" s="479"/>
      <c r="L300" s="480"/>
      <c r="M300" s="480"/>
      <c r="N300" s="480"/>
      <c r="O300" s="480"/>
      <c r="P300" s="481"/>
      <c r="Q300" s="481"/>
      <c r="R300" s="413"/>
    </row>
    <row r="301" spans="1:18" s="450" customFormat="1" ht="14.1" customHeight="1" outlineLevel="2">
      <c r="A301" s="406"/>
      <c r="B301" s="482" t="s">
        <v>427</v>
      </c>
      <c r="C301" s="476"/>
      <c r="D301" s="476"/>
      <c r="E301" s="476"/>
      <c r="F301" s="476"/>
      <c r="G301" s="489"/>
      <c r="H301" s="478"/>
      <c r="I301" s="478"/>
      <c r="J301" s="478"/>
      <c r="K301" s="479"/>
      <c r="L301" s="480"/>
      <c r="M301" s="480"/>
      <c r="N301" s="480"/>
      <c r="O301" s="480"/>
      <c r="P301" s="481"/>
      <c r="Q301" s="481"/>
      <c r="R301" s="413"/>
    </row>
    <row r="302" spans="1:18" s="450" customFormat="1" ht="14.1" customHeight="1" outlineLevel="2">
      <c r="A302" s="406"/>
      <c r="B302" s="482" t="s">
        <v>428</v>
      </c>
      <c r="C302" s="476"/>
      <c r="D302" s="476"/>
      <c r="E302" s="476"/>
      <c r="F302" s="476"/>
      <c r="G302" s="489"/>
      <c r="H302" s="478"/>
      <c r="I302" s="478"/>
      <c r="J302" s="478"/>
      <c r="K302" s="479"/>
      <c r="L302" s="480"/>
      <c r="M302" s="480"/>
      <c r="N302" s="480"/>
      <c r="O302" s="480"/>
      <c r="P302" s="481"/>
      <c r="Q302" s="481"/>
      <c r="R302" s="413"/>
    </row>
    <row r="303" spans="1:18" s="450" customFormat="1" ht="14.1" customHeight="1" outlineLevel="2">
      <c r="A303" s="406"/>
      <c r="B303" s="482" t="s">
        <v>429</v>
      </c>
      <c r="C303" s="476"/>
      <c r="D303" s="476"/>
      <c r="E303" s="476"/>
      <c r="F303" s="476"/>
      <c r="G303" s="489"/>
      <c r="H303" s="478"/>
      <c r="I303" s="478"/>
      <c r="J303" s="478"/>
      <c r="K303" s="479"/>
      <c r="L303" s="480"/>
      <c r="M303" s="480"/>
      <c r="N303" s="480"/>
      <c r="O303" s="480"/>
      <c r="P303" s="481"/>
      <c r="Q303" s="481"/>
      <c r="R303" s="413"/>
    </row>
    <row r="304" spans="1:18" s="450" customFormat="1" ht="14.1" customHeight="1" outlineLevel="2">
      <c r="A304" s="406"/>
      <c r="B304" s="482" t="s">
        <v>430</v>
      </c>
      <c r="C304" s="476"/>
      <c r="D304" s="476"/>
      <c r="E304" s="476"/>
      <c r="F304" s="476"/>
      <c r="G304" s="489"/>
      <c r="H304" s="478"/>
      <c r="I304" s="478"/>
      <c r="J304" s="478"/>
      <c r="K304" s="479"/>
      <c r="L304" s="480"/>
      <c r="M304" s="480"/>
      <c r="N304" s="480"/>
      <c r="O304" s="480"/>
      <c r="P304" s="481"/>
      <c r="Q304" s="481"/>
      <c r="R304" s="413"/>
    </row>
    <row r="305" spans="1:18" s="450" customFormat="1" ht="14.1" customHeight="1" outlineLevel="2">
      <c r="A305" s="406"/>
      <c r="B305" s="482" t="s">
        <v>431</v>
      </c>
      <c r="C305" s="476"/>
      <c r="D305" s="476"/>
      <c r="E305" s="476"/>
      <c r="F305" s="476"/>
      <c r="G305" s="489"/>
      <c r="H305" s="478"/>
      <c r="I305" s="478"/>
      <c r="J305" s="478"/>
      <c r="K305" s="479"/>
      <c r="L305" s="480"/>
      <c r="M305" s="480"/>
      <c r="N305" s="480"/>
      <c r="O305" s="480"/>
      <c r="P305" s="481"/>
      <c r="Q305" s="481"/>
      <c r="R305" s="413"/>
    </row>
    <row r="306" spans="1:18" s="450" customFormat="1" ht="14.1" customHeight="1" outlineLevel="2">
      <c r="A306" s="406"/>
      <c r="B306" s="482" t="s">
        <v>432</v>
      </c>
      <c r="C306" s="476"/>
      <c r="D306" s="476"/>
      <c r="E306" s="476"/>
      <c r="F306" s="476"/>
      <c r="G306" s="489"/>
      <c r="H306" s="478"/>
      <c r="I306" s="478"/>
      <c r="J306" s="478"/>
      <c r="K306" s="479"/>
      <c r="L306" s="480"/>
      <c r="M306" s="480"/>
      <c r="N306" s="480"/>
      <c r="O306" s="480"/>
      <c r="P306" s="481"/>
      <c r="Q306" s="481"/>
      <c r="R306" s="413"/>
    </row>
    <row r="307" spans="1:18" s="450" customFormat="1" ht="14.1" customHeight="1" outlineLevel="2">
      <c r="A307" s="406"/>
      <c r="B307" s="482" t="s">
        <v>433</v>
      </c>
      <c r="C307" s="476"/>
      <c r="D307" s="476"/>
      <c r="E307" s="476"/>
      <c r="F307" s="476"/>
      <c r="G307" s="489"/>
      <c r="H307" s="478"/>
      <c r="I307" s="478"/>
      <c r="J307" s="478"/>
      <c r="K307" s="479"/>
      <c r="L307" s="480"/>
      <c r="M307" s="480"/>
      <c r="N307" s="480"/>
      <c r="O307" s="480"/>
      <c r="P307" s="481"/>
      <c r="Q307" s="481"/>
      <c r="R307" s="413"/>
    </row>
    <row r="308" spans="1:18" s="450" customFormat="1" ht="14.1" customHeight="1" outlineLevel="2">
      <c r="A308" s="406"/>
      <c r="B308" s="482" t="s">
        <v>349</v>
      </c>
      <c r="C308" s="476"/>
      <c r="D308" s="476"/>
      <c r="E308" s="476"/>
      <c r="F308" s="476"/>
      <c r="G308" s="490"/>
      <c r="H308" s="478"/>
      <c r="I308" s="478"/>
      <c r="J308" s="478"/>
      <c r="K308" s="479"/>
      <c r="L308" s="480"/>
      <c r="M308" s="480"/>
      <c r="N308" s="480"/>
      <c r="O308" s="480"/>
      <c r="P308" s="481"/>
      <c r="Q308" s="481"/>
      <c r="R308" s="413"/>
    </row>
    <row r="309" spans="1:18" s="450" customFormat="1" ht="14.1" customHeight="1" outlineLevel="2">
      <c r="A309" s="406"/>
      <c r="B309" s="482" t="s">
        <v>350</v>
      </c>
      <c r="C309" s="476"/>
      <c r="D309" s="476"/>
      <c r="E309" s="476"/>
      <c r="F309" s="476"/>
      <c r="G309" s="477"/>
      <c r="H309" s="478"/>
      <c r="I309" s="478"/>
      <c r="J309" s="478"/>
      <c r="K309" s="479"/>
      <c r="L309" s="480"/>
      <c r="M309" s="480"/>
      <c r="N309" s="480"/>
      <c r="O309" s="480"/>
      <c r="P309" s="481"/>
      <c r="Q309" s="481"/>
      <c r="R309" s="413"/>
    </row>
    <row r="310" spans="1:18" s="450" customFormat="1" ht="14.1" customHeight="1" outlineLevel="2">
      <c r="A310" s="406"/>
      <c r="B310" s="482" t="s">
        <v>351</v>
      </c>
      <c r="C310" s="476"/>
      <c r="D310" s="476"/>
      <c r="E310" s="476"/>
      <c r="F310" s="476"/>
      <c r="G310" s="483"/>
      <c r="H310" s="478"/>
      <c r="I310" s="478"/>
      <c r="J310" s="478"/>
      <c r="K310" s="479"/>
      <c r="L310" s="480"/>
      <c r="M310" s="480"/>
      <c r="N310" s="480"/>
      <c r="O310" s="480"/>
      <c r="P310" s="481"/>
      <c r="Q310" s="481"/>
      <c r="R310" s="413"/>
    </row>
    <row r="311" spans="1:18" s="450" customFormat="1" ht="14.1" customHeight="1" outlineLevel="2">
      <c r="A311" s="406"/>
      <c r="B311" s="482" t="s">
        <v>434</v>
      </c>
      <c r="C311" s="476"/>
      <c r="D311" s="476"/>
      <c r="E311" s="476"/>
      <c r="F311" s="476"/>
      <c r="G311" s="479"/>
      <c r="H311" s="478"/>
      <c r="I311" s="478"/>
      <c r="J311" s="478"/>
      <c r="K311" s="479"/>
      <c r="L311" s="480"/>
      <c r="M311" s="480"/>
      <c r="N311" s="480"/>
      <c r="O311" s="480"/>
      <c r="P311" s="481"/>
      <c r="Q311" s="481"/>
      <c r="R311" s="413"/>
    </row>
    <row r="312" spans="1:18" s="450" customFormat="1" ht="14.1" customHeight="1" outlineLevel="2">
      <c r="A312" s="406"/>
      <c r="B312" s="482" t="s">
        <v>435</v>
      </c>
      <c r="C312" s="476"/>
      <c r="D312" s="476"/>
      <c r="E312" s="476"/>
      <c r="F312" s="476"/>
      <c r="G312" s="483"/>
      <c r="H312" s="478"/>
      <c r="I312" s="478"/>
      <c r="J312" s="478"/>
      <c r="K312" s="479"/>
      <c r="L312" s="480"/>
      <c r="M312" s="480"/>
      <c r="N312" s="480"/>
      <c r="O312" s="480"/>
      <c r="P312" s="481"/>
      <c r="Q312" s="481"/>
      <c r="R312" s="413"/>
    </row>
    <row r="313" spans="1:18" s="450" customFormat="1" ht="14.1" customHeight="1" outlineLevel="2">
      <c r="A313" s="406"/>
      <c r="B313" s="491"/>
      <c r="C313" s="476"/>
      <c r="D313" s="476"/>
      <c r="E313" s="476"/>
      <c r="F313" s="476"/>
      <c r="G313" s="476"/>
      <c r="H313" s="478"/>
      <c r="I313" s="478"/>
      <c r="J313" s="478"/>
      <c r="K313" s="479"/>
      <c r="L313" s="480"/>
      <c r="M313" s="480"/>
      <c r="N313" s="480"/>
      <c r="O313" s="480"/>
      <c r="P313" s="481"/>
      <c r="Q313" s="481"/>
      <c r="R313" s="413"/>
    </row>
    <row r="314" spans="1:18" s="450" customFormat="1" ht="14.1" customHeight="1" outlineLevel="1">
      <c r="A314" s="406"/>
      <c r="B314" s="475" t="s">
        <v>436</v>
      </c>
      <c r="C314" s="476"/>
      <c r="D314" s="477"/>
      <c r="E314" s="477"/>
      <c r="F314" s="477">
        <v>-5000000000</v>
      </c>
      <c r="G314" s="477">
        <v>5000000000</v>
      </c>
      <c r="H314" s="478"/>
      <c r="I314" s="478"/>
      <c r="J314" s="478"/>
      <c r="K314" s="479"/>
      <c r="L314" s="480"/>
      <c r="M314" s="480"/>
      <c r="N314" s="480"/>
      <c r="O314" s="480"/>
      <c r="P314" s="481"/>
      <c r="Q314" s="481"/>
      <c r="R314" s="413"/>
    </row>
    <row r="315" spans="1:18" s="450" customFormat="1" ht="14.1" customHeight="1" outlineLevel="2">
      <c r="A315" s="406"/>
      <c r="B315" s="482" t="s">
        <v>419</v>
      </c>
      <c r="C315" s="476"/>
      <c r="D315" s="476"/>
      <c r="E315" s="476"/>
      <c r="F315" s="476"/>
      <c r="G315" s="479"/>
      <c r="H315" s="478"/>
      <c r="I315" s="478"/>
      <c r="J315" s="478"/>
      <c r="K315" s="479"/>
      <c r="L315" s="480"/>
      <c r="M315" s="480"/>
      <c r="N315" s="480"/>
      <c r="O315" s="480"/>
      <c r="P315" s="481"/>
      <c r="Q315" s="481"/>
      <c r="R315" s="413"/>
    </row>
    <row r="316" spans="1:18" s="450" customFormat="1" ht="14.1" customHeight="1" outlineLevel="2">
      <c r="A316" s="406"/>
      <c r="B316" s="482" t="s">
        <v>335</v>
      </c>
      <c r="C316" s="476"/>
      <c r="D316" s="476"/>
      <c r="E316" s="476"/>
      <c r="F316" s="476"/>
      <c r="G316" s="483"/>
      <c r="H316" s="478"/>
      <c r="I316" s="478"/>
      <c r="J316" s="478"/>
      <c r="K316" s="479"/>
      <c r="L316" s="480"/>
      <c r="M316" s="480"/>
      <c r="N316" s="480"/>
      <c r="O316" s="480"/>
      <c r="P316" s="481"/>
      <c r="Q316" s="481"/>
      <c r="R316" s="413"/>
    </row>
    <row r="317" spans="1:18" s="450" customFormat="1" ht="14.1" customHeight="1" outlineLevel="2">
      <c r="A317" s="406"/>
      <c r="B317" s="482" t="s">
        <v>336</v>
      </c>
      <c r="C317" s="476"/>
      <c r="D317" s="476"/>
      <c r="E317" s="476"/>
      <c r="F317" s="476"/>
      <c r="G317" s="484"/>
      <c r="H317" s="478"/>
      <c r="I317" s="478"/>
      <c r="J317" s="478"/>
      <c r="K317" s="479"/>
      <c r="L317" s="480"/>
      <c r="M317" s="480"/>
      <c r="N317" s="480"/>
      <c r="O317" s="480"/>
      <c r="P317" s="481"/>
      <c r="Q317" s="481"/>
      <c r="R317" s="413"/>
    </row>
    <row r="318" spans="1:18" s="450" customFormat="1" ht="14.1" customHeight="1" outlineLevel="2">
      <c r="A318" s="406"/>
      <c r="B318" s="482" t="s">
        <v>420</v>
      </c>
      <c r="C318" s="476"/>
      <c r="D318" s="476"/>
      <c r="E318" s="476"/>
      <c r="F318" s="476"/>
      <c r="G318" s="485"/>
      <c r="H318" s="478"/>
      <c r="I318" s="478"/>
      <c r="J318" s="478"/>
      <c r="K318" s="479"/>
      <c r="L318" s="480"/>
      <c r="M318" s="480"/>
      <c r="N318" s="480"/>
      <c r="O318" s="480"/>
      <c r="P318" s="481"/>
      <c r="Q318" s="481"/>
      <c r="R318" s="413"/>
    </row>
    <row r="319" spans="1:18" s="450" customFormat="1" ht="14.1" customHeight="1" outlineLevel="2">
      <c r="A319" s="406"/>
      <c r="B319" s="482" t="s">
        <v>338</v>
      </c>
      <c r="C319" s="476"/>
      <c r="D319" s="476"/>
      <c r="E319" s="476"/>
      <c r="F319" s="476"/>
      <c r="G319" s="486"/>
      <c r="H319" s="478"/>
      <c r="I319" s="478"/>
      <c r="J319" s="478"/>
      <c r="K319" s="479"/>
      <c r="L319" s="480"/>
      <c r="M319" s="480"/>
      <c r="N319" s="480"/>
      <c r="O319" s="480"/>
      <c r="P319" s="481"/>
      <c r="Q319" s="481"/>
      <c r="R319" s="413"/>
    </row>
    <row r="320" spans="1:18" s="450" customFormat="1" ht="14.1" customHeight="1" outlineLevel="2">
      <c r="A320" s="406"/>
      <c r="B320" s="482" t="s">
        <v>421</v>
      </c>
      <c r="C320" s="476"/>
      <c r="D320" s="476"/>
      <c r="E320" s="476"/>
      <c r="F320" s="476"/>
      <c r="G320" s="487"/>
      <c r="H320" s="478"/>
      <c r="I320" s="478"/>
      <c r="J320" s="478"/>
      <c r="K320" s="479"/>
      <c r="L320" s="480"/>
      <c r="M320" s="480"/>
      <c r="N320" s="480"/>
      <c r="O320" s="480"/>
      <c r="P320" s="481"/>
      <c r="Q320" s="481"/>
      <c r="R320" s="413"/>
    </row>
    <row r="321" spans="1:18" s="450" customFormat="1" ht="14.1" customHeight="1" outlineLevel="2">
      <c r="A321" s="406"/>
      <c r="B321" s="482" t="s">
        <v>422</v>
      </c>
      <c r="C321" s="476"/>
      <c r="D321" s="476"/>
      <c r="E321" s="476"/>
      <c r="F321" s="476"/>
      <c r="G321" s="487"/>
      <c r="H321" s="478"/>
      <c r="I321" s="478"/>
      <c r="J321" s="478"/>
      <c r="K321" s="479"/>
      <c r="L321" s="480"/>
      <c r="M321" s="480"/>
      <c r="N321" s="480"/>
      <c r="O321" s="480"/>
      <c r="P321" s="481"/>
      <c r="Q321" s="481"/>
      <c r="R321" s="413"/>
    </row>
    <row r="322" spans="1:18" s="450" customFormat="1" ht="14.1" customHeight="1" outlineLevel="2">
      <c r="A322" s="406"/>
      <c r="B322" s="482" t="s">
        <v>423</v>
      </c>
      <c r="C322" s="476"/>
      <c r="D322" s="476"/>
      <c r="E322" s="476"/>
      <c r="F322" s="476"/>
      <c r="G322" s="483"/>
      <c r="H322" s="478"/>
      <c r="I322" s="478"/>
      <c r="J322" s="478"/>
      <c r="K322" s="479"/>
      <c r="L322" s="480"/>
      <c r="M322" s="480"/>
      <c r="N322" s="480"/>
      <c r="O322" s="480"/>
      <c r="P322" s="481"/>
      <c r="Q322" s="481"/>
      <c r="R322" s="413"/>
    </row>
    <row r="323" spans="1:18" s="450" customFormat="1" ht="14.1" customHeight="1" outlineLevel="2">
      <c r="A323" s="406"/>
      <c r="B323" s="482" t="s">
        <v>424</v>
      </c>
      <c r="C323" s="476"/>
      <c r="D323" s="476"/>
      <c r="E323" s="476"/>
      <c r="F323" s="476"/>
      <c r="G323" s="488"/>
      <c r="H323" s="478"/>
      <c r="I323" s="478"/>
      <c r="J323" s="478"/>
      <c r="K323" s="479"/>
      <c r="L323" s="480"/>
      <c r="M323" s="480"/>
      <c r="N323" s="480"/>
      <c r="O323" s="480"/>
      <c r="P323" s="481"/>
      <c r="Q323" s="481"/>
      <c r="R323" s="413"/>
    </row>
    <row r="324" spans="1:18" s="450" customFormat="1" ht="14.1" customHeight="1" outlineLevel="2">
      <c r="A324" s="406"/>
      <c r="B324" s="482" t="s">
        <v>425</v>
      </c>
      <c r="C324" s="476"/>
      <c r="D324" s="476"/>
      <c r="E324" s="476"/>
      <c r="F324" s="476"/>
      <c r="G324" s="489"/>
      <c r="H324" s="478"/>
      <c r="I324" s="478"/>
      <c r="J324" s="478"/>
      <c r="K324" s="479"/>
      <c r="L324" s="480"/>
      <c r="M324" s="480"/>
      <c r="N324" s="480"/>
      <c r="O324" s="480"/>
      <c r="P324" s="481"/>
      <c r="Q324" s="481"/>
      <c r="R324" s="413"/>
    </row>
    <row r="325" spans="1:18" s="450" customFormat="1" ht="14.1" customHeight="1" outlineLevel="2">
      <c r="A325" s="406"/>
      <c r="B325" s="482" t="s">
        <v>426</v>
      </c>
      <c r="C325" s="476"/>
      <c r="D325" s="476"/>
      <c r="E325" s="476"/>
      <c r="F325" s="476"/>
      <c r="G325" s="489"/>
      <c r="H325" s="478"/>
      <c r="I325" s="478"/>
      <c r="J325" s="478"/>
      <c r="K325" s="479"/>
      <c r="L325" s="480"/>
      <c r="M325" s="480"/>
      <c r="N325" s="480"/>
      <c r="O325" s="480"/>
      <c r="P325" s="481"/>
      <c r="Q325" s="481"/>
      <c r="R325" s="413"/>
    </row>
    <row r="326" spans="1:18" s="450" customFormat="1" ht="14.1" customHeight="1" outlineLevel="2">
      <c r="A326" s="406"/>
      <c r="B326" s="482" t="s">
        <v>427</v>
      </c>
      <c r="C326" s="476"/>
      <c r="D326" s="476"/>
      <c r="E326" s="476"/>
      <c r="F326" s="476"/>
      <c r="G326" s="489"/>
      <c r="H326" s="478"/>
      <c r="I326" s="478"/>
      <c r="J326" s="478"/>
      <c r="K326" s="479"/>
      <c r="L326" s="480"/>
      <c r="M326" s="480"/>
      <c r="N326" s="480"/>
      <c r="O326" s="480"/>
      <c r="P326" s="481"/>
      <c r="Q326" s="481"/>
      <c r="R326" s="413"/>
    </row>
    <row r="327" spans="1:18" s="450" customFormat="1" ht="14.1" customHeight="1" outlineLevel="2">
      <c r="A327" s="406"/>
      <c r="B327" s="482" t="s">
        <v>428</v>
      </c>
      <c r="C327" s="476"/>
      <c r="D327" s="476"/>
      <c r="E327" s="476"/>
      <c r="F327" s="476"/>
      <c r="G327" s="489"/>
      <c r="H327" s="478"/>
      <c r="I327" s="478"/>
      <c r="J327" s="478"/>
      <c r="K327" s="479"/>
      <c r="L327" s="480"/>
      <c r="M327" s="480"/>
      <c r="N327" s="480"/>
      <c r="O327" s="480"/>
      <c r="P327" s="481"/>
      <c r="Q327" s="481"/>
      <c r="R327" s="413"/>
    </row>
    <row r="328" spans="1:18" s="450" customFormat="1" ht="14.1" customHeight="1" outlineLevel="2">
      <c r="A328" s="406"/>
      <c r="B328" s="482" t="s">
        <v>429</v>
      </c>
      <c r="C328" s="476"/>
      <c r="D328" s="476"/>
      <c r="E328" s="476"/>
      <c r="F328" s="476"/>
      <c r="G328" s="489"/>
      <c r="H328" s="478"/>
      <c r="I328" s="478"/>
      <c r="J328" s="478"/>
      <c r="K328" s="479"/>
      <c r="L328" s="480"/>
      <c r="M328" s="480"/>
      <c r="N328" s="480"/>
      <c r="O328" s="480"/>
      <c r="P328" s="481"/>
      <c r="Q328" s="481"/>
      <c r="R328" s="413"/>
    </row>
    <row r="329" spans="1:18" s="450" customFormat="1" ht="14.1" customHeight="1" outlineLevel="2">
      <c r="A329" s="406"/>
      <c r="B329" s="482" t="s">
        <v>430</v>
      </c>
      <c r="C329" s="476"/>
      <c r="D329" s="476"/>
      <c r="E329" s="476"/>
      <c r="F329" s="476"/>
      <c r="G329" s="489"/>
      <c r="H329" s="478"/>
      <c r="I329" s="478"/>
      <c r="J329" s="478"/>
      <c r="K329" s="479"/>
      <c r="L329" s="480"/>
      <c r="M329" s="480"/>
      <c r="N329" s="480"/>
      <c r="O329" s="480"/>
      <c r="P329" s="481"/>
      <c r="Q329" s="481"/>
      <c r="R329" s="413"/>
    </row>
    <row r="330" spans="1:18" s="450" customFormat="1" ht="14.1" customHeight="1" outlineLevel="2">
      <c r="A330" s="406"/>
      <c r="B330" s="482" t="s">
        <v>431</v>
      </c>
      <c r="C330" s="476"/>
      <c r="D330" s="476"/>
      <c r="E330" s="476"/>
      <c r="F330" s="476"/>
      <c r="G330" s="489"/>
      <c r="H330" s="478"/>
      <c r="I330" s="478"/>
      <c r="J330" s="478"/>
      <c r="K330" s="479"/>
      <c r="L330" s="480"/>
      <c r="M330" s="480"/>
      <c r="N330" s="480"/>
      <c r="O330" s="480"/>
      <c r="P330" s="481"/>
      <c r="Q330" s="481"/>
      <c r="R330" s="413"/>
    </row>
    <row r="331" spans="1:18" s="450" customFormat="1" ht="14.1" customHeight="1" outlineLevel="2">
      <c r="A331" s="406"/>
      <c r="B331" s="482" t="s">
        <v>432</v>
      </c>
      <c r="C331" s="476"/>
      <c r="D331" s="476"/>
      <c r="E331" s="476"/>
      <c r="F331" s="476"/>
      <c r="G331" s="489"/>
      <c r="H331" s="478"/>
      <c r="I331" s="478"/>
      <c r="J331" s="478"/>
      <c r="K331" s="479"/>
      <c r="L331" s="480"/>
      <c r="M331" s="480"/>
      <c r="N331" s="480"/>
      <c r="O331" s="480"/>
      <c r="P331" s="481"/>
      <c r="Q331" s="481"/>
      <c r="R331" s="413"/>
    </row>
    <row r="332" spans="1:18" s="450" customFormat="1" ht="14.1" customHeight="1" outlineLevel="2">
      <c r="A332" s="406"/>
      <c r="B332" s="482" t="s">
        <v>433</v>
      </c>
      <c r="C332" s="476"/>
      <c r="D332" s="476"/>
      <c r="E332" s="476"/>
      <c r="F332" s="476"/>
      <c r="G332" s="489"/>
      <c r="H332" s="478"/>
      <c r="I332" s="478"/>
      <c r="J332" s="478"/>
      <c r="K332" s="479"/>
      <c r="L332" s="480"/>
      <c r="M332" s="480"/>
      <c r="N332" s="480"/>
      <c r="O332" s="480"/>
      <c r="P332" s="481"/>
      <c r="Q332" s="481"/>
      <c r="R332" s="413"/>
    </row>
    <row r="333" spans="1:18" s="450" customFormat="1" ht="14.1" customHeight="1" outlineLevel="2">
      <c r="A333" s="406"/>
      <c r="B333" s="482" t="s">
        <v>413</v>
      </c>
      <c r="C333" s="476"/>
      <c r="D333" s="476"/>
      <c r="E333" s="476"/>
      <c r="F333" s="476"/>
      <c r="G333" s="490"/>
      <c r="H333" s="478"/>
      <c r="I333" s="478"/>
      <c r="J333" s="478"/>
      <c r="K333" s="479"/>
      <c r="L333" s="480"/>
      <c r="M333" s="480"/>
      <c r="N333" s="480"/>
      <c r="O333" s="480"/>
      <c r="P333" s="481"/>
      <c r="Q333" s="481"/>
      <c r="R333" s="413"/>
    </row>
    <row r="334" spans="1:18" s="450" customFormat="1" ht="14.1" customHeight="1" outlineLevel="2">
      <c r="A334" s="406"/>
      <c r="B334" s="482" t="s">
        <v>414</v>
      </c>
      <c r="C334" s="476"/>
      <c r="D334" s="476"/>
      <c r="E334" s="476"/>
      <c r="F334" s="476"/>
      <c r="G334" s="477"/>
      <c r="H334" s="478"/>
      <c r="I334" s="478"/>
      <c r="J334" s="478"/>
      <c r="K334" s="479"/>
      <c r="L334" s="480"/>
      <c r="M334" s="480"/>
      <c r="N334" s="480"/>
      <c r="O334" s="480"/>
      <c r="P334" s="481"/>
      <c r="Q334" s="481"/>
      <c r="R334" s="413"/>
    </row>
    <row r="335" spans="1:18" s="450" customFormat="1" ht="14.1" customHeight="1" outlineLevel="2">
      <c r="A335" s="406"/>
      <c r="B335" s="482" t="s">
        <v>437</v>
      </c>
      <c r="C335" s="476"/>
      <c r="D335" s="476"/>
      <c r="E335" s="476"/>
      <c r="F335" s="476"/>
      <c r="G335" s="483"/>
      <c r="H335" s="478"/>
      <c r="I335" s="478"/>
      <c r="J335" s="478"/>
      <c r="K335" s="479"/>
      <c r="L335" s="480"/>
      <c r="M335" s="480"/>
      <c r="N335" s="480"/>
      <c r="O335" s="480"/>
      <c r="P335" s="481"/>
      <c r="Q335" s="481"/>
      <c r="R335" s="413"/>
    </row>
    <row r="336" spans="1:18" s="450" customFormat="1" ht="14.1" customHeight="1" outlineLevel="2">
      <c r="A336" s="406"/>
      <c r="B336" s="482" t="s">
        <v>438</v>
      </c>
      <c r="C336" s="476"/>
      <c r="D336" s="476"/>
      <c r="E336" s="476"/>
      <c r="F336" s="476"/>
      <c r="G336" s="479"/>
      <c r="H336" s="478"/>
      <c r="I336" s="478"/>
      <c r="J336" s="478"/>
      <c r="K336" s="479"/>
      <c r="L336" s="480"/>
      <c r="M336" s="480"/>
      <c r="N336" s="480"/>
      <c r="O336" s="480"/>
      <c r="P336" s="481"/>
      <c r="Q336" s="481"/>
      <c r="R336" s="413"/>
    </row>
    <row r="337" spans="1:18" s="450" customFormat="1" ht="14.1" customHeight="1" outlineLevel="2">
      <c r="A337" s="406"/>
      <c r="B337" s="482" t="s">
        <v>439</v>
      </c>
      <c r="C337" s="476"/>
      <c r="D337" s="476"/>
      <c r="E337" s="476"/>
      <c r="F337" s="476"/>
      <c r="G337" s="483"/>
      <c r="H337" s="478"/>
      <c r="I337" s="478"/>
      <c r="J337" s="478"/>
      <c r="K337" s="479"/>
      <c r="L337" s="480"/>
      <c r="M337" s="480"/>
      <c r="N337" s="480"/>
      <c r="O337" s="480"/>
      <c r="P337" s="481"/>
      <c r="Q337" s="481"/>
      <c r="R337" s="413"/>
    </row>
    <row r="338" spans="1:18" s="450" customFormat="1" ht="14.1" customHeight="1" outlineLevel="2">
      <c r="A338" s="406"/>
      <c r="B338" s="491"/>
      <c r="C338" s="476"/>
      <c r="D338" s="476"/>
      <c r="E338" s="476"/>
      <c r="F338" s="476"/>
      <c r="G338" s="476"/>
      <c r="H338" s="478"/>
      <c r="I338" s="478"/>
      <c r="J338" s="478"/>
      <c r="K338" s="479"/>
      <c r="L338" s="480"/>
      <c r="M338" s="480"/>
      <c r="N338" s="480"/>
      <c r="O338" s="480"/>
      <c r="P338" s="481"/>
      <c r="Q338" s="481"/>
      <c r="R338" s="413"/>
    </row>
    <row r="339" spans="1:18" s="450" customFormat="1" ht="14.1" customHeight="1" outlineLevel="1">
      <c r="A339" s="406"/>
      <c r="B339" s="448" t="s">
        <v>440</v>
      </c>
      <c r="C339" s="184"/>
      <c r="D339" s="184"/>
      <c r="E339" s="184"/>
      <c r="F339" s="184"/>
      <c r="G339" s="184"/>
      <c r="H339" s="184">
        <v>0</v>
      </c>
      <c r="I339" s="184"/>
      <c r="J339" s="184"/>
      <c r="K339" s="184"/>
      <c r="L339" s="184"/>
      <c r="M339" s="449"/>
      <c r="N339" s="449"/>
      <c r="O339" s="449"/>
      <c r="P339" s="449"/>
      <c r="Q339" s="449"/>
      <c r="R339" s="413"/>
    </row>
    <row r="340" spans="1:18" s="450" customFormat="1" ht="14.1" customHeight="1" outlineLevel="1">
      <c r="A340" s="406"/>
      <c r="B340" s="475" t="s">
        <v>441</v>
      </c>
      <c r="C340" s="476"/>
      <c r="D340" s="477"/>
      <c r="E340" s="477"/>
      <c r="F340" s="477">
        <v>-5000000000</v>
      </c>
      <c r="G340" s="476"/>
      <c r="H340" s="478"/>
      <c r="I340" s="477">
        <v>5000000000</v>
      </c>
      <c r="J340" s="477"/>
      <c r="K340" s="479"/>
      <c r="L340" s="480"/>
      <c r="M340" s="480"/>
      <c r="N340" s="480"/>
      <c r="O340" s="480"/>
      <c r="P340" s="481"/>
      <c r="Q340" s="481"/>
      <c r="R340" s="413"/>
    </row>
    <row r="341" spans="1:18" s="450" customFormat="1" ht="14.1" customHeight="1" outlineLevel="2">
      <c r="A341" s="406"/>
      <c r="B341" s="482" t="s">
        <v>419</v>
      </c>
      <c r="C341" s="476"/>
      <c r="D341" s="476"/>
      <c r="E341" s="476"/>
      <c r="F341" s="476"/>
      <c r="G341" s="476"/>
      <c r="H341" s="478"/>
      <c r="I341" s="479"/>
      <c r="J341" s="479"/>
      <c r="K341" s="479"/>
      <c r="L341" s="480"/>
      <c r="M341" s="480"/>
      <c r="N341" s="480"/>
      <c r="O341" s="480"/>
      <c r="P341" s="481"/>
      <c r="Q341" s="481"/>
      <c r="R341" s="413"/>
    </row>
    <row r="342" spans="1:18" s="450" customFormat="1" ht="14.1" customHeight="1" outlineLevel="2">
      <c r="A342" s="406"/>
      <c r="B342" s="482" t="s">
        <v>335</v>
      </c>
      <c r="C342" s="476"/>
      <c r="D342" s="476"/>
      <c r="E342" s="476"/>
      <c r="F342" s="476"/>
      <c r="G342" s="476"/>
      <c r="H342" s="478"/>
      <c r="I342" s="483"/>
      <c r="J342" s="483"/>
      <c r="K342" s="479"/>
      <c r="L342" s="480"/>
      <c r="M342" s="480"/>
      <c r="N342" s="480"/>
      <c r="O342" s="480"/>
      <c r="P342" s="481"/>
      <c r="Q342" s="481"/>
      <c r="R342" s="413"/>
    </row>
    <row r="343" spans="1:18" s="450" customFormat="1" ht="14.1" customHeight="1" outlineLevel="2">
      <c r="A343" s="406"/>
      <c r="B343" s="482" t="s">
        <v>336</v>
      </c>
      <c r="C343" s="476"/>
      <c r="D343" s="476"/>
      <c r="E343" s="476"/>
      <c r="F343" s="476"/>
      <c r="G343" s="476"/>
      <c r="H343" s="478"/>
      <c r="I343" s="484"/>
      <c r="J343" s="484"/>
      <c r="K343" s="479"/>
      <c r="L343" s="480"/>
      <c r="M343" s="480"/>
      <c r="N343" s="480"/>
      <c r="O343" s="480"/>
      <c r="P343" s="481"/>
      <c r="Q343" s="481"/>
      <c r="R343" s="413"/>
    </row>
    <row r="344" spans="1:18" s="450" customFormat="1" ht="14.1" customHeight="1" outlineLevel="2">
      <c r="A344" s="406"/>
      <c r="B344" s="482" t="s">
        <v>442</v>
      </c>
      <c r="C344" s="476"/>
      <c r="D344" s="476"/>
      <c r="E344" s="476"/>
      <c r="F344" s="476"/>
      <c r="G344" s="476"/>
      <c r="H344" s="478"/>
      <c r="I344" s="485"/>
      <c r="J344" s="485"/>
      <c r="K344" s="479"/>
      <c r="L344" s="480"/>
      <c r="M344" s="480"/>
      <c r="N344" s="480"/>
      <c r="O344" s="480"/>
      <c r="P344" s="481"/>
      <c r="Q344" s="481"/>
      <c r="R344" s="413"/>
    </row>
    <row r="345" spans="1:18" s="450" customFormat="1" ht="14.1" customHeight="1" outlineLevel="2">
      <c r="A345" s="406"/>
      <c r="B345" s="482" t="s">
        <v>338</v>
      </c>
      <c r="C345" s="476"/>
      <c r="D345" s="476"/>
      <c r="E345" s="476"/>
      <c r="F345" s="476"/>
      <c r="G345" s="476"/>
      <c r="H345" s="478"/>
      <c r="I345" s="486"/>
      <c r="J345" s="486"/>
      <c r="K345" s="479"/>
      <c r="L345" s="480"/>
      <c r="M345" s="480"/>
      <c r="N345" s="480"/>
      <c r="O345" s="480"/>
      <c r="P345" s="481"/>
      <c r="Q345" s="481"/>
      <c r="R345" s="413"/>
    </row>
    <row r="346" spans="1:18" s="450" customFormat="1" ht="14.1" customHeight="1" outlineLevel="2">
      <c r="A346" s="406"/>
      <c r="B346" s="482" t="s">
        <v>421</v>
      </c>
      <c r="C346" s="476"/>
      <c r="D346" s="476"/>
      <c r="E346" s="476"/>
      <c r="F346" s="476"/>
      <c r="G346" s="476"/>
      <c r="H346" s="478"/>
      <c r="I346" s="487"/>
      <c r="J346" s="487"/>
      <c r="K346" s="479"/>
      <c r="L346" s="480"/>
      <c r="M346" s="480"/>
      <c r="N346" s="480"/>
      <c r="O346" s="480"/>
      <c r="P346" s="481"/>
      <c r="Q346" s="481"/>
      <c r="R346" s="413"/>
    </row>
    <row r="347" spans="1:18" s="450" customFormat="1" ht="14.1" customHeight="1" outlineLevel="2">
      <c r="A347" s="406"/>
      <c r="B347" s="482" t="s">
        <v>422</v>
      </c>
      <c r="C347" s="476"/>
      <c r="D347" s="476"/>
      <c r="E347" s="476"/>
      <c r="F347" s="476"/>
      <c r="G347" s="476"/>
      <c r="H347" s="478"/>
      <c r="I347" s="487"/>
      <c r="J347" s="487"/>
      <c r="K347" s="479"/>
      <c r="L347" s="480"/>
      <c r="M347" s="480"/>
      <c r="N347" s="480"/>
      <c r="O347" s="480"/>
      <c r="P347" s="481"/>
      <c r="Q347" s="481"/>
      <c r="R347" s="413"/>
    </row>
    <row r="348" spans="1:18" s="450" customFormat="1" ht="14.1" customHeight="1" outlineLevel="2">
      <c r="A348" s="406"/>
      <c r="B348" s="482" t="s">
        <v>443</v>
      </c>
      <c r="C348" s="476"/>
      <c r="D348" s="476"/>
      <c r="E348" s="476"/>
      <c r="F348" s="476"/>
      <c r="G348" s="476"/>
      <c r="H348" s="478"/>
      <c r="I348" s="483"/>
      <c r="J348" s="483"/>
      <c r="K348" s="479"/>
      <c r="L348" s="480"/>
      <c r="M348" s="480"/>
      <c r="N348" s="480"/>
      <c r="O348" s="480"/>
      <c r="P348" s="481"/>
      <c r="Q348" s="481"/>
      <c r="R348" s="413"/>
    </row>
    <row r="349" spans="1:18" s="450" customFormat="1" ht="14.1" customHeight="1" outlineLevel="2">
      <c r="A349" s="406"/>
      <c r="B349" s="482" t="s">
        <v>444</v>
      </c>
      <c r="C349" s="476"/>
      <c r="D349" s="476"/>
      <c r="E349" s="476"/>
      <c r="F349" s="476"/>
      <c r="G349" s="476"/>
      <c r="H349" s="478"/>
      <c r="I349" s="488"/>
      <c r="J349" s="488"/>
      <c r="K349" s="479"/>
      <c r="L349" s="480"/>
      <c r="M349" s="480"/>
      <c r="N349" s="480"/>
      <c r="O349" s="480"/>
      <c r="P349" s="481"/>
      <c r="Q349" s="481"/>
      <c r="R349" s="413"/>
    </row>
    <row r="350" spans="1:18" s="450" customFormat="1" ht="14.1" customHeight="1" outlineLevel="2">
      <c r="A350" s="406"/>
      <c r="B350" s="482" t="s">
        <v>445</v>
      </c>
      <c r="C350" s="476"/>
      <c r="D350" s="476"/>
      <c r="E350" s="476"/>
      <c r="F350" s="476"/>
      <c r="G350" s="476"/>
      <c r="H350" s="478"/>
      <c r="I350" s="489"/>
      <c r="J350" s="489"/>
      <c r="K350" s="479"/>
      <c r="L350" s="480"/>
      <c r="M350" s="480"/>
      <c r="N350" s="480"/>
      <c r="O350" s="480"/>
      <c r="P350" s="481"/>
      <c r="Q350" s="481"/>
      <c r="R350" s="413"/>
    </row>
    <row r="351" spans="1:18" s="450" customFormat="1" ht="14.1" customHeight="1" outlineLevel="2">
      <c r="A351" s="406"/>
      <c r="B351" s="482" t="s">
        <v>446</v>
      </c>
      <c r="C351" s="476"/>
      <c r="D351" s="476"/>
      <c r="E351" s="476"/>
      <c r="F351" s="476"/>
      <c r="G351" s="476"/>
      <c r="H351" s="478"/>
      <c r="I351" s="489"/>
      <c r="J351" s="489"/>
      <c r="K351" s="479"/>
      <c r="L351" s="480"/>
      <c r="M351" s="480"/>
      <c r="N351" s="480"/>
      <c r="O351" s="480"/>
      <c r="P351" s="481"/>
      <c r="Q351" s="481"/>
      <c r="R351" s="413"/>
    </row>
    <row r="352" spans="1:18" s="450" customFormat="1" ht="14.1" customHeight="1" outlineLevel="2">
      <c r="A352" s="406"/>
      <c r="B352" s="482" t="s">
        <v>447</v>
      </c>
      <c r="C352" s="476"/>
      <c r="D352" s="476"/>
      <c r="E352" s="476"/>
      <c r="F352" s="476"/>
      <c r="G352" s="476"/>
      <c r="H352" s="478"/>
      <c r="I352" s="489"/>
      <c r="J352" s="489"/>
      <c r="K352" s="479"/>
      <c r="L352" s="480"/>
      <c r="M352" s="480"/>
      <c r="N352" s="480"/>
      <c r="O352" s="480"/>
      <c r="P352" s="481"/>
      <c r="Q352" s="481"/>
      <c r="R352" s="413"/>
    </row>
    <row r="353" spans="1:18" s="450" customFormat="1" ht="14.1" customHeight="1" outlineLevel="2">
      <c r="A353" s="406"/>
      <c r="B353" s="482" t="s">
        <v>448</v>
      </c>
      <c r="C353" s="476"/>
      <c r="D353" s="476"/>
      <c r="E353" s="476"/>
      <c r="F353" s="476"/>
      <c r="G353" s="476"/>
      <c r="H353" s="478"/>
      <c r="I353" s="489"/>
      <c r="J353" s="489"/>
      <c r="K353" s="479"/>
      <c r="L353" s="480"/>
      <c r="M353" s="480"/>
      <c r="N353" s="480"/>
      <c r="O353" s="480"/>
      <c r="P353" s="481"/>
      <c r="Q353" s="481"/>
      <c r="R353" s="413"/>
    </row>
    <row r="354" spans="1:18" s="450" customFormat="1" ht="14.1" customHeight="1" outlineLevel="2">
      <c r="A354" s="406"/>
      <c r="B354" s="482" t="s">
        <v>449</v>
      </c>
      <c r="C354" s="476"/>
      <c r="D354" s="476"/>
      <c r="E354" s="476"/>
      <c r="F354" s="476"/>
      <c r="G354" s="476"/>
      <c r="H354" s="478"/>
      <c r="I354" s="489"/>
      <c r="J354" s="489"/>
      <c r="K354" s="479"/>
      <c r="L354" s="480"/>
      <c r="M354" s="480"/>
      <c r="N354" s="480"/>
      <c r="O354" s="480"/>
      <c r="P354" s="481"/>
      <c r="Q354" s="481"/>
      <c r="R354" s="413"/>
    </row>
    <row r="355" spans="1:18" s="450" customFormat="1" ht="14.1" customHeight="1" outlineLevel="2">
      <c r="A355" s="406"/>
      <c r="B355" s="482" t="s">
        <v>450</v>
      </c>
      <c r="C355" s="476"/>
      <c r="D355" s="476"/>
      <c r="E355" s="476"/>
      <c r="F355" s="476"/>
      <c r="G355" s="476"/>
      <c r="H355" s="478"/>
      <c r="I355" s="489"/>
      <c r="J355" s="489"/>
      <c r="K355" s="479"/>
      <c r="L355" s="480"/>
      <c r="M355" s="480"/>
      <c r="N355" s="480"/>
      <c r="O355" s="480"/>
      <c r="P355" s="481"/>
      <c r="Q355" s="481"/>
      <c r="R355" s="413"/>
    </row>
    <row r="356" spans="1:18" s="450" customFormat="1" ht="14.1" customHeight="1" outlineLevel="2">
      <c r="A356" s="406"/>
      <c r="B356" s="482" t="s">
        <v>451</v>
      </c>
      <c r="C356" s="476"/>
      <c r="D356" s="476"/>
      <c r="E356" s="476"/>
      <c r="F356" s="476"/>
      <c r="G356" s="476"/>
      <c r="H356" s="478"/>
      <c r="I356" s="489"/>
      <c r="J356" s="489"/>
      <c r="K356" s="479"/>
      <c r="L356" s="480"/>
      <c r="M356" s="480"/>
      <c r="N356" s="480"/>
      <c r="O356" s="480"/>
      <c r="P356" s="481"/>
      <c r="Q356" s="481"/>
      <c r="R356" s="413"/>
    </row>
    <row r="357" spans="1:18" s="450" customFormat="1" ht="14.1" customHeight="1" outlineLevel="2">
      <c r="A357" s="406"/>
      <c r="B357" s="482" t="s">
        <v>452</v>
      </c>
      <c r="C357" s="476"/>
      <c r="D357" s="476"/>
      <c r="E357" s="476"/>
      <c r="F357" s="476"/>
      <c r="G357" s="476"/>
      <c r="H357" s="478"/>
      <c r="I357" s="489"/>
      <c r="J357" s="489"/>
      <c r="K357" s="479"/>
      <c r="L357" s="480"/>
      <c r="M357" s="480"/>
      <c r="N357" s="480"/>
      <c r="O357" s="480"/>
      <c r="P357" s="481"/>
      <c r="Q357" s="481"/>
      <c r="R357" s="413"/>
    </row>
    <row r="358" spans="1:18" s="450" customFormat="1" ht="14.1" customHeight="1" outlineLevel="2">
      <c r="A358" s="406"/>
      <c r="B358" s="482" t="s">
        <v>453</v>
      </c>
      <c r="C358" s="476"/>
      <c r="D358" s="476"/>
      <c r="E358" s="476"/>
      <c r="F358" s="476"/>
      <c r="G358" s="476"/>
      <c r="H358" s="478"/>
      <c r="I358" s="489"/>
      <c r="J358" s="489"/>
      <c r="K358" s="479"/>
      <c r="L358" s="480"/>
      <c r="M358" s="480"/>
      <c r="N358" s="480"/>
      <c r="O358" s="480"/>
      <c r="P358" s="481"/>
      <c r="Q358" s="481"/>
      <c r="R358" s="413"/>
    </row>
    <row r="359" spans="1:18" s="450" customFormat="1" ht="14.1" customHeight="1" outlineLevel="2">
      <c r="A359" s="406"/>
      <c r="B359" s="482" t="s">
        <v>349</v>
      </c>
      <c r="C359" s="476"/>
      <c r="D359" s="476"/>
      <c r="E359" s="476"/>
      <c r="F359" s="476"/>
      <c r="G359" s="476"/>
      <c r="H359" s="478"/>
      <c r="I359" s="490"/>
      <c r="J359" s="490"/>
      <c r="K359" s="479"/>
      <c r="L359" s="480"/>
      <c r="M359" s="480"/>
      <c r="N359" s="480"/>
      <c r="O359" s="480"/>
      <c r="P359" s="481"/>
      <c r="Q359" s="481"/>
      <c r="R359" s="413"/>
    </row>
    <row r="360" spans="1:18" s="450" customFormat="1" ht="14.1" customHeight="1" outlineLevel="2">
      <c r="A360" s="406"/>
      <c r="B360" s="482" t="s">
        <v>454</v>
      </c>
      <c r="C360" s="476"/>
      <c r="D360" s="476"/>
      <c r="E360" s="476"/>
      <c r="F360" s="476"/>
      <c r="G360" s="476"/>
      <c r="H360" s="478"/>
      <c r="I360" s="477"/>
      <c r="J360" s="477"/>
      <c r="K360" s="479"/>
      <c r="L360" s="480"/>
      <c r="M360" s="480"/>
      <c r="N360" s="480"/>
      <c r="O360" s="480"/>
      <c r="P360" s="481"/>
      <c r="Q360" s="481"/>
      <c r="R360" s="413"/>
    </row>
    <row r="361" spans="1:18" s="450" customFormat="1" ht="14.1" customHeight="1" outlineLevel="2">
      <c r="A361" s="406"/>
      <c r="B361" s="482" t="s">
        <v>455</v>
      </c>
      <c r="C361" s="476"/>
      <c r="D361" s="476"/>
      <c r="E361" s="476"/>
      <c r="F361" s="476"/>
      <c r="G361" s="476"/>
      <c r="H361" s="478"/>
      <c r="I361" s="483"/>
      <c r="J361" s="483"/>
      <c r="K361" s="479"/>
      <c r="L361" s="480"/>
      <c r="M361" s="480"/>
      <c r="N361" s="480"/>
      <c r="O361" s="480"/>
      <c r="P361" s="481"/>
      <c r="Q361" s="481"/>
      <c r="R361" s="413"/>
    </row>
    <row r="362" spans="1:18" s="450" customFormat="1" ht="14.1" customHeight="1" outlineLevel="2">
      <c r="A362" s="406"/>
      <c r="B362" s="482" t="s">
        <v>456</v>
      </c>
      <c r="C362" s="476"/>
      <c r="D362" s="476"/>
      <c r="E362" s="476"/>
      <c r="F362" s="476"/>
      <c r="G362" s="476"/>
      <c r="H362" s="478"/>
      <c r="I362" s="479"/>
      <c r="J362" s="479"/>
      <c r="K362" s="479"/>
      <c r="L362" s="480"/>
      <c r="M362" s="480"/>
      <c r="N362" s="480"/>
      <c r="O362" s="480"/>
      <c r="P362" s="481"/>
      <c r="Q362" s="481"/>
      <c r="R362" s="413"/>
    </row>
    <row r="363" spans="1:18" s="450" customFormat="1" ht="14.1" customHeight="1" outlineLevel="2">
      <c r="A363" s="406"/>
      <c r="B363" s="482" t="s">
        <v>457</v>
      </c>
      <c r="C363" s="476"/>
      <c r="D363" s="476"/>
      <c r="E363" s="476"/>
      <c r="F363" s="476"/>
      <c r="G363" s="476"/>
      <c r="H363" s="478"/>
      <c r="I363" s="483"/>
      <c r="J363" s="483"/>
      <c r="K363" s="479"/>
      <c r="L363" s="480"/>
      <c r="M363" s="480"/>
      <c r="N363" s="480"/>
      <c r="O363" s="480"/>
      <c r="P363" s="481"/>
      <c r="Q363" s="481"/>
      <c r="R363" s="413"/>
    </row>
    <row r="364" spans="1:18" s="450" customFormat="1" ht="14.1" customHeight="1" outlineLevel="2">
      <c r="A364" s="406"/>
      <c r="B364" s="491"/>
      <c r="C364" s="476"/>
      <c r="D364" s="476"/>
      <c r="E364" s="476"/>
      <c r="F364" s="476"/>
      <c r="G364" s="476"/>
      <c r="H364" s="478"/>
      <c r="I364" s="478"/>
      <c r="J364" s="478"/>
      <c r="K364" s="479"/>
      <c r="L364" s="480"/>
      <c r="M364" s="480"/>
      <c r="N364" s="480"/>
      <c r="O364" s="480"/>
      <c r="P364" s="481"/>
      <c r="Q364" s="481"/>
      <c r="R364" s="413"/>
    </row>
    <row r="365" spans="1:18" s="450" customFormat="1" ht="14.1" customHeight="1" outlineLevel="1">
      <c r="A365" s="406"/>
      <c r="B365" s="475" t="s">
        <v>458</v>
      </c>
      <c r="C365" s="476"/>
      <c r="D365" s="477"/>
      <c r="E365" s="477"/>
      <c r="F365" s="477">
        <v>-5000000000</v>
      </c>
      <c r="G365" s="476"/>
      <c r="H365" s="478"/>
      <c r="I365" s="477">
        <v>5000000000</v>
      </c>
      <c r="J365" s="477"/>
      <c r="K365" s="479"/>
      <c r="L365" s="480"/>
      <c r="M365" s="480"/>
      <c r="N365" s="480"/>
      <c r="O365" s="480"/>
      <c r="P365" s="481"/>
      <c r="Q365" s="481"/>
      <c r="R365" s="413"/>
    </row>
    <row r="366" spans="1:18" s="450" customFormat="1" ht="14.1" customHeight="1" outlineLevel="2">
      <c r="A366" s="406"/>
      <c r="B366" s="482" t="s">
        <v>459</v>
      </c>
      <c r="C366" s="476"/>
      <c r="D366" s="476"/>
      <c r="E366" s="476"/>
      <c r="F366" s="476"/>
      <c r="G366" s="476"/>
      <c r="H366" s="478"/>
      <c r="I366" s="479"/>
      <c r="J366" s="479"/>
      <c r="K366" s="479"/>
      <c r="L366" s="480"/>
      <c r="M366" s="480"/>
      <c r="N366" s="480"/>
      <c r="O366" s="480"/>
      <c r="P366" s="481"/>
      <c r="Q366" s="481"/>
      <c r="R366" s="413"/>
    </row>
    <row r="367" spans="1:18" s="450" customFormat="1" ht="14.1" customHeight="1" outlineLevel="2">
      <c r="A367" s="406"/>
      <c r="B367" s="482" t="s">
        <v>335</v>
      </c>
      <c r="C367" s="476"/>
      <c r="D367" s="476"/>
      <c r="E367" s="476"/>
      <c r="F367" s="476"/>
      <c r="G367" s="476"/>
      <c r="H367" s="478"/>
      <c r="I367" s="483"/>
      <c r="J367" s="483"/>
      <c r="K367" s="479"/>
      <c r="L367" s="480"/>
      <c r="M367" s="480"/>
      <c r="N367" s="480"/>
      <c r="O367" s="480"/>
      <c r="P367" s="481"/>
      <c r="Q367" s="481"/>
      <c r="R367" s="413"/>
    </row>
    <row r="368" spans="1:18" s="450" customFormat="1" ht="14.1" customHeight="1" outlineLevel="2">
      <c r="A368" s="406"/>
      <c r="B368" s="482" t="s">
        <v>336</v>
      </c>
      <c r="C368" s="476"/>
      <c r="D368" s="476"/>
      <c r="E368" s="476"/>
      <c r="F368" s="476"/>
      <c r="G368" s="476"/>
      <c r="H368" s="478"/>
      <c r="I368" s="484"/>
      <c r="J368" s="484"/>
      <c r="K368" s="479"/>
      <c r="L368" s="480"/>
      <c r="M368" s="480"/>
      <c r="N368" s="480"/>
      <c r="O368" s="480"/>
      <c r="P368" s="481"/>
      <c r="Q368" s="481"/>
      <c r="R368" s="413"/>
    </row>
    <row r="369" spans="1:18" s="450" customFormat="1" ht="14.1" customHeight="1" outlineLevel="2">
      <c r="A369" s="406"/>
      <c r="B369" s="482" t="s">
        <v>460</v>
      </c>
      <c r="C369" s="476"/>
      <c r="D369" s="476"/>
      <c r="E369" s="476"/>
      <c r="F369" s="476"/>
      <c r="G369" s="476"/>
      <c r="H369" s="478"/>
      <c r="I369" s="485"/>
      <c r="J369" s="485"/>
      <c r="K369" s="479"/>
      <c r="L369" s="480"/>
      <c r="M369" s="480"/>
      <c r="N369" s="480"/>
      <c r="O369" s="480"/>
      <c r="P369" s="481"/>
      <c r="Q369" s="481"/>
      <c r="R369" s="413"/>
    </row>
    <row r="370" spans="1:18" s="450" customFormat="1" ht="14.1" customHeight="1" outlineLevel="2">
      <c r="A370" s="406"/>
      <c r="B370" s="482" t="s">
        <v>338</v>
      </c>
      <c r="C370" s="476"/>
      <c r="D370" s="476"/>
      <c r="E370" s="476"/>
      <c r="F370" s="476"/>
      <c r="G370" s="476"/>
      <c r="H370" s="478"/>
      <c r="I370" s="486"/>
      <c r="J370" s="486"/>
      <c r="K370" s="479"/>
      <c r="L370" s="480"/>
      <c r="M370" s="480"/>
      <c r="N370" s="480"/>
      <c r="O370" s="480"/>
      <c r="P370" s="481"/>
      <c r="Q370" s="481"/>
      <c r="R370" s="413"/>
    </row>
    <row r="371" spans="1:18" s="450" customFormat="1" ht="14.1" customHeight="1" outlineLevel="2">
      <c r="A371" s="406"/>
      <c r="B371" s="482" t="s">
        <v>421</v>
      </c>
      <c r="C371" s="476"/>
      <c r="D371" s="476"/>
      <c r="E371" s="476"/>
      <c r="F371" s="476"/>
      <c r="G371" s="476"/>
      <c r="H371" s="478"/>
      <c r="I371" s="487"/>
      <c r="J371" s="487"/>
      <c r="K371" s="479"/>
      <c r="L371" s="480"/>
      <c r="M371" s="480"/>
      <c r="N371" s="480"/>
      <c r="O371" s="480"/>
      <c r="P371" s="481"/>
      <c r="Q371" s="481"/>
      <c r="R371" s="413"/>
    </row>
    <row r="372" spans="1:18" s="450" customFormat="1" ht="14.1" customHeight="1" outlineLevel="2">
      <c r="A372" s="406"/>
      <c r="B372" s="482" t="s">
        <v>422</v>
      </c>
      <c r="C372" s="476"/>
      <c r="D372" s="476"/>
      <c r="E372" s="476"/>
      <c r="F372" s="476"/>
      <c r="G372" s="476"/>
      <c r="H372" s="478"/>
      <c r="I372" s="487"/>
      <c r="J372" s="487"/>
      <c r="K372" s="479"/>
      <c r="L372" s="480"/>
      <c r="M372" s="480"/>
      <c r="N372" s="480"/>
      <c r="O372" s="480"/>
      <c r="P372" s="481"/>
      <c r="Q372" s="481"/>
      <c r="R372" s="413"/>
    </row>
    <row r="373" spans="1:18" s="450" customFormat="1" ht="14.1" customHeight="1" outlineLevel="2">
      <c r="A373" s="406"/>
      <c r="B373" s="482" t="s">
        <v>461</v>
      </c>
      <c r="C373" s="476"/>
      <c r="D373" s="476"/>
      <c r="E373" s="476"/>
      <c r="F373" s="476"/>
      <c r="G373" s="476"/>
      <c r="H373" s="478"/>
      <c r="I373" s="483"/>
      <c r="J373" s="483"/>
      <c r="K373" s="479"/>
      <c r="L373" s="480"/>
      <c r="M373" s="480"/>
      <c r="N373" s="480"/>
      <c r="O373" s="480"/>
      <c r="P373" s="481"/>
      <c r="Q373" s="481"/>
      <c r="R373" s="413"/>
    </row>
    <row r="374" spans="1:18" s="450" customFormat="1" ht="14.1" customHeight="1" outlineLevel="2">
      <c r="A374" s="406"/>
      <c r="B374" s="482" t="s">
        <v>462</v>
      </c>
      <c r="C374" s="476"/>
      <c r="D374" s="476"/>
      <c r="E374" s="476"/>
      <c r="F374" s="476"/>
      <c r="G374" s="476"/>
      <c r="H374" s="478"/>
      <c r="I374" s="488"/>
      <c r="J374" s="488"/>
      <c r="K374" s="479"/>
      <c r="L374" s="480"/>
      <c r="M374" s="480"/>
      <c r="N374" s="480"/>
      <c r="O374" s="480"/>
      <c r="P374" s="481"/>
      <c r="Q374" s="481"/>
      <c r="R374" s="413"/>
    </row>
    <row r="375" spans="1:18" s="450" customFormat="1" ht="14.1" customHeight="1" outlineLevel="2">
      <c r="A375" s="406"/>
      <c r="B375" s="482" t="s">
        <v>463</v>
      </c>
      <c r="C375" s="476"/>
      <c r="D375" s="476"/>
      <c r="E375" s="476"/>
      <c r="F375" s="476"/>
      <c r="G375" s="476"/>
      <c r="H375" s="478"/>
      <c r="I375" s="489"/>
      <c r="J375" s="489"/>
      <c r="K375" s="479"/>
      <c r="L375" s="480"/>
      <c r="M375" s="480"/>
      <c r="N375" s="480"/>
      <c r="O375" s="480"/>
      <c r="P375" s="481"/>
      <c r="Q375" s="481"/>
      <c r="R375" s="413"/>
    </row>
    <row r="376" spans="1:18" s="450" customFormat="1" ht="14.1" customHeight="1" outlineLevel="2">
      <c r="A376" s="406"/>
      <c r="B376" s="482" t="s">
        <v>464</v>
      </c>
      <c r="C376" s="476"/>
      <c r="D376" s="476"/>
      <c r="E376" s="476"/>
      <c r="F376" s="476"/>
      <c r="G376" s="476"/>
      <c r="H376" s="478"/>
      <c r="I376" s="489"/>
      <c r="J376" s="489"/>
      <c r="K376" s="479"/>
      <c r="L376" s="480"/>
      <c r="M376" s="480"/>
      <c r="N376" s="480"/>
      <c r="O376" s="480"/>
      <c r="P376" s="481"/>
      <c r="Q376" s="481"/>
      <c r="R376" s="413"/>
    </row>
    <row r="377" spans="1:18" s="450" customFormat="1" ht="14.1" customHeight="1" outlineLevel="2">
      <c r="A377" s="406"/>
      <c r="B377" s="482" t="s">
        <v>465</v>
      </c>
      <c r="C377" s="476"/>
      <c r="D377" s="476"/>
      <c r="E377" s="476"/>
      <c r="F377" s="476"/>
      <c r="G377" s="476"/>
      <c r="H377" s="478"/>
      <c r="I377" s="489"/>
      <c r="J377" s="489"/>
      <c r="K377" s="479"/>
      <c r="L377" s="480"/>
      <c r="M377" s="480"/>
      <c r="N377" s="480"/>
      <c r="O377" s="480"/>
      <c r="P377" s="481"/>
      <c r="Q377" s="481"/>
      <c r="R377" s="413"/>
    </row>
    <row r="378" spans="1:18" s="450" customFormat="1" ht="14.1" customHeight="1" outlineLevel="2">
      <c r="A378" s="406"/>
      <c r="B378" s="482" t="s">
        <v>466</v>
      </c>
      <c r="C378" s="476"/>
      <c r="D378" s="476"/>
      <c r="E378" s="476"/>
      <c r="F378" s="476"/>
      <c r="G378" s="476"/>
      <c r="H378" s="478"/>
      <c r="I378" s="489"/>
      <c r="J378" s="489"/>
      <c r="K378" s="479"/>
      <c r="L378" s="480"/>
      <c r="M378" s="480"/>
      <c r="N378" s="480"/>
      <c r="O378" s="480"/>
      <c r="P378" s="481"/>
      <c r="Q378" s="481"/>
      <c r="R378" s="413"/>
    </row>
    <row r="379" spans="1:18" s="450" customFormat="1" ht="14.1" customHeight="1" outlineLevel="2">
      <c r="A379" s="406"/>
      <c r="B379" s="482" t="s">
        <v>467</v>
      </c>
      <c r="C379" s="476"/>
      <c r="D379" s="476"/>
      <c r="E379" s="476"/>
      <c r="F379" s="476"/>
      <c r="G379" s="476"/>
      <c r="H379" s="478"/>
      <c r="I379" s="489"/>
      <c r="J379" s="489"/>
      <c r="K379" s="479"/>
      <c r="L379" s="480"/>
      <c r="M379" s="480"/>
      <c r="N379" s="480"/>
      <c r="O379" s="480"/>
      <c r="P379" s="481"/>
      <c r="Q379" s="481"/>
      <c r="R379" s="413"/>
    </row>
    <row r="380" spans="1:18" s="450" customFormat="1" ht="14.1" customHeight="1" outlineLevel="2">
      <c r="A380" s="406"/>
      <c r="B380" s="482" t="s">
        <v>468</v>
      </c>
      <c r="C380" s="476"/>
      <c r="D380" s="476"/>
      <c r="E380" s="476"/>
      <c r="F380" s="476"/>
      <c r="G380" s="476"/>
      <c r="H380" s="478"/>
      <c r="I380" s="489"/>
      <c r="J380" s="489"/>
      <c r="K380" s="479"/>
      <c r="L380" s="480"/>
      <c r="M380" s="480"/>
      <c r="N380" s="480"/>
      <c r="O380" s="480"/>
      <c r="P380" s="481"/>
      <c r="Q380" s="481"/>
      <c r="R380" s="413"/>
    </row>
    <row r="381" spans="1:18" s="450" customFormat="1" ht="14.1" customHeight="1" outlineLevel="2">
      <c r="A381" s="406"/>
      <c r="B381" s="482" t="s">
        <v>469</v>
      </c>
      <c r="C381" s="476"/>
      <c r="D381" s="476"/>
      <c r="E381" s="476"/>
      <c r="F381" s="476"/>
      <c r="G381" s="476"/>
      <c r="H381" s="478"/>
      <c r="I381" s="489"/>
      <c r="J381" s="489"/>
      <c r="K381" s="479"/>
      <c r="L381" s="480"/>
      <c r="M381" s="480"/>
      <c r="N381" s="480"/>
      <c r="O381" s="480"/>
      <c r="P381" s="481"/>
      <c r="Q381" s="481"/>
      <c r="R381" s="413"/>
    </row>
    <row r="382" spans="1:18" s="450" customFormat="1" ht="14.1" customHeight="1" outlineLevel="2">
      <c r="A382" s="406"/>
      <c r="B382" s="482" t="s">
        <v>470</v>
      </c>
      <c r="C382" s="476"/>
      <c r="D382" s="476"/>
      <c r="E382" s="476"/>
      <c r="F382" s="476"/>
      <c r="G382" s="476"/>
      <c r="H382" s="478"/>
      <c r="I382" s="489"/>
      <c r="J382" s="489"/>
      <c r="K382" s="479"/>
      <c r="L382" s="480"/>
      <c r="M382" s="480"/>
      <c r="N382" s="480"/>
      <c r="O382" s="480"/>
      <c r="P382" s="481"/>
      <c r="Q382" s="481"/>
      <c r="R382" s="413"/>
    </row>
    <row r="383" spans="1:18" s="450" customFormat="1" ht="14.1" customHeight="1" outlineLevel="2">
      <c r="A383" s="406"/>
      <c r="B383" s="482" t="s">
        <v>471</v>
      </c>
      <c r="C383" s="476"/>
      <c r="D383" s="476"/>
      <c r="E383" s="476"/>
      <c r="F383" s="476"/>
      <c r="G383" s="476"/>
      <c r="H383" s="478"/>
      <c r="I383" s="489"/>
      <c r="J383" s="489"/>
      <c r="K383" s="479"/>
      <c r="L383" s="480"/>
      <c r="M383" s="480"/>
      <c r="N383" s="480"/>
      <c r="O383" s="480"/>
      <c r="P383" s="481"/>
      <c r="Q383" s="481"/>
      <c r="R383" s="413"/>
    </row>
    <row r="384" spans="1:18" s="450" customFormat="1" ht="14.1" customHeight="1" outlineLevel="2">
      <c r="A384" s="406"/>
      <c r="B384" s="482" t="s">
        <v>349</v>
      </c>
      <c r="C384" s="476"/>
      <c r="D384" s="476"/>
      <c r="E384" s="476"/>
      <c r="F384" s="476"/>
      <c r="G384" s="476"/>
      <c r="H384" s="478"/>
      <c r="I384" s="490"/>
      <c r="J384" s="490"/>
      <c r="K384" s="479"/>
      <c r="L384" s="480"/>
      <c r="M384" s="480"/>
      <c r="N384" s="480"/>
      <c r="O384" s="480"/>
      <c r="P384" s="481"/>
      <c r="Q384" s="481"/>
      <c r="R384" s="413"/>
    </row>
    <row r="385" spans="1:18" s="450" customFormat="1" ht="14.1" customHeight="1" outlineLevel="2">
      <c r="A385" s="406"/>
      <c r="B385" s="482" t="s">
        <v>350</v>
      </c>
      <c r="C385" s="476"/>
      <c r="D385" s="476"/>
      <c r="E385" s="476"/>
      <c r="F385" s="476"/>
      <c r="G385" s="476"/>
      <c r="H385" s="478"/>
      <c r="I385" s="477"/>
      <c r="J385" s="477"/>
      <c r="K385" s="479"/>
      <c r="L385" s="480"/>
      <c r="M385" s="480"/>
      <c r="N385" s="480"/>
      <c r="O385" s="480"/>
      <c r="P385" s="481"/>
      <c r="Q385" s="481"/>
      <c r="R385" s="413"/>
    </row>
    <row r="386" spans="1:18" s="450" customFormat="1" ht="14.1" customHeight="1" outlineLevel="2">
      <c r="A386" s="406"/>
      <c r="B386" s="482" t="s">
        <v>351</v>
      </c>
      <c r="C386" s="476"/>
      <c r="D386" s="476"/>
      <c r="E386" s="476"/>
      <c r="F386" s="476"/>
      <c r="G386" s="476"/>
      <c r="H386" s="478"/>
      <c r="I386" s="483"/>
      <c r="J386" s="483"/>
      <c r="K386" s="479"/>
      <c r="L386" s="480"/>
      <c r="M386" s="480"/>
      <c r="N386" s="480"/>
      <c r="O386" s="480"/>
      <c r="P386" s="481"/>
      <c r="Q386" s="481"/>
      <c r="R386" s="413"/>
    </row>
    <row r="387" spans="1:18" s="450" customFormat="1" ht="14.1" customHeight="1" outlineLevel="2">
      <c r="A387" s="406"/>
      <c r="B387" s="482" t="s">
        <v>472</v>
      </c>
      <c r="C387" s="476"/>
      <c r="D387" s="476"/>
      <c r="E387" s="476"/>
      <c r="F387" s="476"/>
      <c r="G387" s="476"/>
      <c r="H387" s="478"/>
      <c r="I387" s="479"/>
      <c r="J387" s="479"/>
      <c r="K387" s="479"/>
      <c r="L387" s="480"/>
      <c r="M387" s="480"/>
      <c r="N387" s="480"/>
      <c r="O387" s="480"/>
      <c r="P387" s="481"/>
      <c r="Q387" s="481"/>
      <c r="R387" s="413"/>
    </row>
    <row r="388" spans="1:18" s="450" customFormat="1" ht="14.1" customHeight="1" outlineLevel="2">
      <c r="A388" s="406"/>
      <c r="B388" s="482" t="s">
        <v>473</v>
      </c>
      <c r="C388" s="476"/>
      <c r="D388" s="476"/>
      <c r="E388" s="476"/>
      <c r="F388" s="476"/>
      <c r="G388" s="476"/>
      <c r="H388" s="478"/>
      <c r="I388" s="483"/>
      <c r="J388" s="483"/>
      <c r="K388" s="479"/>
      <c r="L388" s="480"/>
      <c r="M388" s="480"/>
      <c r="N388" s="480"/>
      <c r="O388" s="480"/>
      <c r="P388" s="481"/>
      <c r="Q388" s="481"/>
      <c r="R388" s="413"/>
    </row>
    <row r="389" spans="1:18" s="450" customFormat="1" ht="14.1" customHeight="1" outlineLevel="2">
      <c r="A389" s="406"/>
      <c r="B389" s="491"/>
      <c r="C389" s="476"/>
      <c r="D389" s="476"/>
      <c r="E389" s="476"/>
      <c r="F389" s="476"/>
      <c r="G389" s="476"/>
      <c r="H389" s="478"/>
      <c r="I389" s="478"/>
      <c r="J389" s="478"/>
      <c r="K389" s="479"/>
      <c r="L389" s="480"/>
      <c r="M389" s="480"/>
      <c r="N389" s="480"/>
      <c r="O389" s="480"/>
      <c r="P389" s="481"/>
      <c r="Q389" s="481"/>
      <c r="R389" s="413"/>
    </row>
    <row r="390" spans="1:18" s="450" customFormat="1" ht="14.1" customHeight="1" outlineLevel="1">
      <c r="A390" s="406"/>
      <c r="B390" s="475" t="s">
        <v>474</v>
      </c>
      <c r="C390" s="476"/>
      <c r="D390" s="477"/>
      <c r="E390" s="477"/>
      <c r="F390" s="477">
        <v>-5000000000</v>
      </c>
      <c r="G390" s="476"/>
      <c r="H390" s="478"/>
      <c r="I390" s="477">
        <v>5000000000</v>
      </c>
      <c r="J390" s="477"/>
      <c r="K390" s="479"/>
      <c r="L390" s="480"/>
      <c r="M390" s="480"/>
      <c r="N390" s="480"/>
      <c r="O390" s="480"/>
      <c r="P390" s="481"/>
      <c r="Q390" s="481"/>
      <c r="R390" s="413"/>
    </row>
    <row r="391" spans="1:18" s="450" customFormat="1" ht="14.1" customHeight="1" outlineLevel="2">
      <c r="A391" s="406"/>
      <c r="B391" s="482" t="s">
        <v>419</v>
      </c>
      <c r="C391" s="476"/>
      <c r="D391" s="476"/>
      <c r="E391" s="476"/>
      <c r="F391" s="476"/>
      <c r="G391" s="476"/>
      <c r="H391" s="478"/>
      <c r="I391" s="479"/>
      <c r="J391" s="479"/>
      <c r="K391" s="479"/>
      <c r="L391" s="480"/>
      <c r="M391" s="480"/>
      <c r="N391" s="480"/>
      <c r="O391" s="480"/>
      <c r="P391" s="481"/>
      <c r="Q391" s="481"/>
      <c r="R391" s="413"/>
    </row>
    <row r="392" spans="1:18" s="450" customFormat="1" ht="14.1" customHeight="1" outlineLevel="2">
      <c r="A392" s="406"/>
      <c r="B392" s="482" t="s">
        <v>335</v>
      </c>
      <c r="C392" s="476"/>
      <c r="D392" s="476"/>
      <c r="E392" s="476"/>
      <c r="F392" s="476"/>
      <c r="G392" s="476"/>
      <c r="H392" s="478"/>
      <c r="I392" s="483"/>
      <c r="J392" s="483"/>
      <c r="K392" s="479"/>
      <c r="L392" s="480"/>
      <c r="M392" s="480"/>
      <c r="N392" s="480"/>
      <c r="O392" s="480"/>
      <c r="P392" s="481"/>
      <c r="Q392" s="481"/>
      <c r="R392" s="413"/>
    </row>
    <row r="393" spans="1:18" s="450" customFormat="1" ht="14.1" customHeight="1" outlineLevel="2">
      <c r="A393" s="406"/>
      <c r="B393" s="482" t="s">
        <v>336</v>
      </c>
      <c r="C393" s="476"/>
      <c r="D393" s="476"/>
      <c r="E393" s="476"/>
      <c r="F393" s="476"/>
      <c r="G393" s="476"/>
      <c r="H393" s="478"/>
      <c r="I393" s="484"/>
      <c r="J393" s="484"/>
      <c r="K393" s="479"/>
      <c r="L393" s="480"/>
      <c r="M393" s="480"/>
      <c r="N393" s="480"/>
      <c r="O393" s="480"/>
      <c r="P393" s="481"/>
      <c r="Q393" s="481"/>
      <c r="R393" s="413"/>
    </row>
    <row r="394" spans="1:18" s="450" customFormat="1" ht="14.1" customHeight="1" outlineLevel="2">
      <c r="A394" s="406"/>
      <c r="B394" s="482" t="s">
        <v>460</v>
      </c>
      <c r="C394" s="476"/>
      <c r="D394" s="476"/>
      <c r="E394" s="476"/>
      <c r="F394" s="476"/>
      <c r="G394" s="476"/>
      <c r="H394" s="478"/>
      <c r="I394" s="485"/>
      <c r="J394" s="485"/>
      <c r="K394" s="479"/>
      <c r="L394" s="480"/>
      <c r="M394" s="480"/>
      <c r="N394" s="480"/>
      <c r="O394" s="480"/>
      <c r="P394" s="481"/>
      <c r="Q394" s="481"/>
      <c r="R394" s="413"/>
    </row>
    <row r="395" spans="1:18" s="450" customFormat="1" ht="14.1" customHeight="1" outlineLevel="2">
      <c r="A395" s="406"/>
      <c r="B395" s="482" t="s">
        <v>338</v>
      </c>
      <c r="C395" s="476"/>
      <c r="D395" s="476"/>
      <c r="E395" s="476"/>
      <c r="F395" s="476"/>
      <c r="G395" s="476"/>
      <c r="H395" s="478"/>
      <c r="I395" s="486"/>
      <c r="J395" s="486"/>
      <c r="K395" s="479"/>
      <c r="L395" s="480"/>
      <c r="M395" s="480"/>
      <c r="N395" s="480"/>
      <c r="O395" s="480"/>
      <c r="P395" s="481"/>
      <c r="Q395" s="481"/>
      <c r="R395" s="413"/>
    </row>
    <row r="396" spans="1:18" s="450" customFormat="1" ht="14.1" customHeight="1" outlineLevel="2">
      <c r="A396" s="406"/>
      <c r="B396" s="482" t="s">
        <v>421</v>
      </c>
      <c r="C396" s="476"/>
      <c r="D396" s="476"/>
      <c r="E396" s="476"/>
      <c r="F396" s="476"/>
      <c r="G396" s="476"/>
      <c r="H396" s="478"/>
      <c r="I396" s="487"/>
      <c r="J396" s="487"/>
      <c r="K396" s="479"/>
      <c r="L396" s="480"/>
      <c r="M396" s="480"/>
      <c r="N396" s="480"/>
      <c r="O396" s="480"/>
      <c r="P396" s="481"/>
      <c r="Q396" s="481"/>
      <c r="R396" s="413"/>
    </row>
    <row r="397" spans="1:18" s="450" customFormat="1" ht="14.1" customHeight="1" outlineLevel="2">
      <c r="A397" s="406"/>
      <c r="B397" s="482" t="s">
        <v>422</v>
      </c>
      <c r="C397" s="476"/>
      <c r="D397" s="476"/>
      <c r="E397" s="476"/>
      <c r="F397" s="476"/>
      <c r="G397" s="476"/>
      <c r="H397" s="478"/>
      <c r="I397" s="487"/>
      <c r="J397" s="487"/>
      <c r="K397" s="479"/>
      <c r="L397" s="480"/>
      <c r="M397" s="480"/>
      <c r="N397" s="480"/>
      <c r="O397" s="480"/>
      <c r="P397" s="481"/>
      <c r="Q397" s="481"/>
      <c r="R397" s="413"/>
    </row>
    <row r="398" spans="1:18" s="450" customFormat="1" ht="14.1" customHeight="1" outlineLevel="2">
      <c r="A398" s="406"/>
      <c r="B398" s="482" t="s">
        <v>461</v>
      </c>
      <c r="C398" s="476"/>
      <c r="D398" s="476"/>
      <c r="E398" s="476"/>
      <c r="F398" s="476"/>
      <c r="G398" s="476"/>
      <c r="H398" s="478"/>
      <c r="I398" s="483"/>
      <c r="J398" s="483"/>
      <c r="K398" s="479"/>
      <c r="L398" s="480"/>
      <c r="M398" s="480"/>
      <c r="N398" s="480"/>
      <c r="O398" s="480"/>
      <c r="P398" s="481"/>
      <c r="Q398" s="481"/>
      <c r="R398" s="413"/>
    </row>
    <row r="399" spans="1:18" s="450" customFormat="1" ht="14.1" customHeight="1" outlineLevel="2">
      <c r="A399" s="406"/>
      <c r="B399" s="482" t="s">
        <v>462</v>
      </c>
      <c r="C399" s="476"/>
      <c r="D399" s="476"/>
      <c r="E399" s="476"/>
      <c r="F399" s="476"/>
      <c r="G399" s="476"/>
      <c r="H399" s="478"/>
      <c r="I399" s="488"/>
      <c r="J399" s="488"/>
      <c r="K399" s="479"/>
      <c r="L399" s="480"/>
      <c r="M399" s="480"/>
      <c r="N399" s="480"/>
      <c r="O399" s="480"/>
      <c r="P399" s="481"/>
      <c r="Q399" s="481"/>
      <c r="R399" s="413"/>
    </row>
    <row r="400" spans="1:18" s="450" customFormat="1" ht="14.1" customHeight="1" outlineLevel="2">
      <c r="A400" s="406"/>
      <c r="B400" s="482" t="s">
        <v>463</v>
      </c>
      <c r="C400" s="476"/>
      <c r="D400" s="476"/>
      <c r="E400" s="476"/>
      <c r="F400" s="476"/>
      <c r="G400" s="476"/>
      <c r="H400" s="478"/>
      <c r="I400" s="489"/>
      <c r="J400" s="489"/>
      <c r="K400" s="479"/>
      <c r="L400" s="480"/>
      <c r="M400" s="480"/>
      <c r="N400" s="480"/>
      <c r="O400" s="480"/>
      <c r="P400" s="481"/>
      <c r="Q400" s="481"/>
      <c r="R400" s="413"/>
    </row>
    <row r="401" spans="1:18" s="450" customFormat="1" ht="14.1" customHeight="1" outlineLevel="2">
      <c r="A401" s="406"/>
      <c r="B401" s="482" t="s">
        <v>475</v>
      </c>
      <c r="C401" s="476"/>
      <c r="D401" s="476"/>
      <c r="E401" s="476"/>
      <c r="F401" s="476"/>
      <c r="G401" s="476"/>
      <c r="H401" s="478"/>
      <c r="I401" s="489"/>
      <c r="J401" s="489"/>
      <c r="K401" s="479"/>
      <c r="L401" s="480"/>
      <c r="M401" s="480"/>
      <c r="N401" s="480"/>
      <c r="O401" s="480"/>
      <c r="P401" s="481"/>
      <c r="Q401" s="481"/>
      <c r="R401" s="413"/>
    </row>
    <row r="402" spans="1:18" s="450" customFormat="1" ht="14.1" customHeight="1" outlineLevel="2">
      <c r="A402" s="406"/>
      <c r="B402" s="482" t="s">
        <v>476</v>
      </c>
      <c r="C402" s="476"/>
      <c r="D402" s="476"/>
      <c r="E402" s="476"/>
      <c r="F402" s="476"/>
      <c r="G402" s="476"/>
      <c r="H402" s="478"/>
      <c r="I402" s="489"/>
      <c r="J402" s="489"/>
      <c r="K402" s="479"/>
      <c r="L402" s="480"/>
      <c r="M402" s="480"/>
      <c r="N402" s="480"/>
      <c r="O402" s="480"/>
      <c r="P402" s="481"/>
      <c r="Q402" s="481"/>
      <c r="R402" s="413"/>
    </row>
    <row r="403" spans="1:18" s="450" customFormat="1" ht="14.1" customHeight="1" outlineLevel="2">
      <c r="A403" s="406"/>
      <c r="B403" s="482" t="s">
        <v>477</v>
      </c>
      <c r="C403" s="476"/>
      <c r="D403" s="476"/>
      <c r="E403" s="476"/>
      <c r="F403" s="476"/>
      <c r="G403" s="476"/>
      <c r="H403" s="478"/>
      <c r="I403" s="489"/>
      <c r="J403" s="489"/>
      <c r="K403" s="479"/>
      <c r="L403" s="480"/>
      <c r="M403" s="480"/>
      <c r="N403" s="480"/>
      <c r="O403" s="480"/>
      <c r="P403" s="481"/>
      <c r="Q403" s="481"/>
      <c r="R403" s="413"/>
    </row>
    <row r="404" spans="1:18" s="450" customFormat="1" ht="14.1" customHeight="1" outlineLevel="2">
      <c r="A404" s="406"/>
      <c r="B404" s="482" t="s">
        <v>478</v>
      </c>
      <c r="C404" s="476"/>
      <c r="D404" s="476"/>
      <c r="E404" s="476"/>
      <c r="F404" s="476"/>
      <c r="G404" s="476"/>
      <c r="H404" s="478"/>
      <c r="I404" s="489"/>
      <c r="J404" s="489"/>
      <c r="K404" s="479"/>
      <c r="L404" s="480"/>
      <c r="M404" s="480"/>
      <c r="N404" s="480"/>
      <c r="O404" s="480"/>
      <c r="P404" s="481"/>
      <c r="Q404" s="481"/>
      <c r="R404" s="413"/>
    </row>
    <row r="405" spans="1:18" s="450" customFormat="1" ht="14.1" customHeight="1" outlineLevel="2">
      <c r="A405" s="406"/>
      <c r="B405" s="482" t="s">
        <v>479</v>
      </c>
      <c r="C405" s="476"/>
      <c r="D405" s="476"/>
      <c r="E405" s="476"/>
      <c r="F405" s="476"/>
      <c r="G405" s="476"/>
      <c r="H405" s="478"/>
      <c r="I405" s="489"/>
      <c r="J405" s="489"/>
      <c r="K405" s="479"/>
      <c r="L405" s="480"/>
      <c r="M405" s="480"/>
      <c r="N405" s="480"/>
      <c r="O405" s="480"/>
      <c r="P405" s="481"/>
      <c r="Q405" s="481"/>
      <c r="R405" s="413"/>
    </row>
    <row r="406" spans="1:18" s="450" customFormat="1" ht="14.1" customHeight="1" outlineLevel="2">
      <c r="A406" s="406"/>
      <c r="B406" s="482" t="s">
        <v>480</v>
      </c>
      <c r="C406" s="476"/>
      <c r="D406" s="476"/>
      <c r="E406" s="476"/>
      <c r="F406" s="476"/>
      <c r="G406" s="476"/>
      <c r="H406" s="478"/>
      <c r="I406" s="489"/>
      <c r="J406" s="489"/>
      <c r="K406" s="479"/>
      <c r="L406" s="480"/>
      <c r="M406" s="480"/>
      <c r="N406" s="480"/>
      <c r="O406" s="480"/>
      <c r="P406" s="481"/>
      <c r="Q406" s="481"/>
      <c r="R406" s="413"/>
    </row>
    <row r="407" spans="1:18" s="450" customFormat="1" ht="14.1" customHeight="1" outlineLevel="2">
      <c r="A407" s="406"/>
      <c r="B407" s="482" t="s">
        <v>481</v>
      </c>
      <c r="C407" s="476"/>
      <c r="D407" s="476"/>
      <c r="E407" s="476"/>
      <c r="F407" s="476"/>
      <c r="G407" s="476"/>
      <c r="H407" s="478"/>
      <c r="I407" s="489"/>
      <c r="J407" s="489"/>
      <c r="K407" s="479"/>
      <c r="L407" s="480"/>
      <c r="M407" s="480"/>
      <c r="N407" s="480"/>
      <c r="O407" s="480"/>
      <c r="P407" s="481"/>
      <c r="Q407" s="481"/>
      <c r="R407" s="413"/>
    </row>
    <row r="408" spans="1:18" s="450" customFormat="1" ht="14.1" customHeight="1" outlineLevel="2">
      <c r="A408" s="406"/>
      <c r="B408" s="482" t="s">
        <v>482</v>
      </c>
      <c r="C408" s="476"/>
      <c r="D408" s="476"/>
      <c r="E408" s="476"/>
      <c r="F408" s="476"/>
      <c r="G408" s="476"/>
      <c r="H408" s="478"/>
      <c r="I408" s="489"/>
      <c r="J408" s="489"/>
      <c r="K408" s="479"/>
      <c r="L408" s="480"/>
      <c r="M408" s="480"/>
      <c r="N408" s="480"/>
      <c r="O408" s="480"/>
      <c r="P408" s="481"/>
      <c r="Q408" s="481"/>
      <c r="R408" s="413"/>
    </row>
    <row r="409" spans="1:18" s="450" customFormat="1" ht="14.1" customHeight="1" outlineLevel="2">
      <c r="A409" s="406"/>
      <c r="B409" s="482" t="s">
        <v>349</v>
      </c>
      <c r="C409" s="476"/>
      <c r="D409" s="476"/>
      <c r="E409" s="476"/>
      <c r="F409" s="476"/>
      <c r="G409" s="476"/>
      <c r="H409" s="478"/>
      <c r="I409" s="490"/>
      <c r="J409" s="490"/>
      <c r="K409" s="479"/>
      <c r="L409" s="480"/>
      <c r="M409" s="480"/>
      <c r="N409" s="480"/>
      <c r="O409" s="480"/>
      <c r="P409" s="481"/>
      <c r="Q409" s="481"/>
      <c r="R409" s="413"/>
    </row>
    <row r="410" spans="1:18" s="450" customFormat="1" ht="14.1" customHeight="1" outlineLevel="2">
      <c r="A410" s="406"/>
      <c r="B410" s="482" t="s">
        <v>350</v>
      </c>
      <c r="C410" s="476"/>
      <c r="D410" s="476"/>
      <c r="E410" s="476"/>
      <c r="F410" s="476"/>
      <c r="G410" s="476"/>
      <c r="H410" s="478"/>
      <c r="I410" s="477"/>
      <c r="J410" s="477"/>
      <c r="K410" s="479"/>
      <c r="L410" s="480"/>
      <c r="M410" s="480"/>
      <c r="N410" s="480"/>
      <c r="O410" s="480"/>
      <c r="P410" s="481"/>
      <c r="Q410" s="481"/>
      <c r="R410" s="413"/>
    </row>
    <row r="411" spans="1:18" s="450" customFormat="1" ht="14.1" customHeight="1" outlineLevel="2">
      <c r="A411" s="406"/>
      <c r="B411" s="482" t="s">
        <v>351</v>
      </c>
      <c r="C411" s="476"/>
      <c r="D411" s="476"/>
      <c r="E411" s="476"/>
      <c r="F411" s="476"/>
      <c r="G411" s="476"/>
      <c r="H411" s="478"/>
      <c r="I411" s="483"/>
      <c r="J411" s="483"/>
      <c r="K411" s="479"/>
      <c r="L411" s="480"/>
      <c r="M411" s="480"/>
      <c r="N411" s="480"/>
      <c r="O411" s="480"/>
      <c r="P411" s="481"/>
      <c r="Q411" s="481"/>
      <c r="R411" s="413"/>
    </row>
    <row r="412" spans="1:18" s="450" customFormat="1" ht="14.1" customHeight="1" outlineLevel="2">
      <c r="A412" s="406"/>
      <c r="B412" s="482" t="s">
        <v>483</v>
      </c>
      <c r="C412" s="476"/>
      <c r="D412" s="476"/>
      <c r="E412" s="476"/>
      <c r="F412" s="476"/>
      <c r="G412" s="476"/>
      <c r="H412" s="478"/>
      <c r="I412" s="479"/>
      <c r="J412" s="479"/>
      <c r="K412" s="479"/>
      <c r="L412" s="480"/>
      <c r="M412" s="480"/>
      <c r="N412" s="480"/>
      <c r="O412" s="480"/>
      <c r="P412" s="481"/>
      <c r="Q412" s="481"/>
      <c r="R412" s="413"/>
    </row>
    <row r="413" spans="1:18" s="450" customFormat="1" ht="14.1" customHeight="1" outlineLevel="2">
      <c r="A413" s="406"/>
      <c r="B413" s="482" t="s">
        <v>484</v>
      </c>
      <c r="C413" s="476"/>
      <c r="D413" s="476"/>
      <c r="E413" s="476"/>
      <c r="F413" s="476"/>
      <c r="G413" s="476"/>
      <c r="H413" s="478"/>
      <c r="I413" s="483"/>
      <c r="J413" s="483"/>
      <c r="K413" s="479"/>
      <c r="L413" s="480"/>
      <c r="M413" s="480"/>
      <c r="N413" s="480"/>
      <c r="O413" s="480"/>
      <c r="P413" s="481"/>
      <c r="Q413" s="481"/>
      <c r="R413" s="413"/>
    </row>
    <row r="414" spans="1:18" s="450" customFormat="1" ht="14.1" customHeight="1" outlineLevel="2">
      <c r="A414" s="406"/>
      <c r="B414" s="491"/>
      <c r="C414" s="476"/>
      <c r="D414" s="476"/>
      <c r="E414" s="476"/>
      <c r="F414" s="476"/>
      <c r="G414" s="476"/>
      <c r="H414" s="478"/>
      <c r="I414" s="478"/>
      <c r="J414" s="478"/>
      <c r="K414" s="479"/>
      <c r="L414" s="480"/>
      <c r="M414" s="480"/>
      <c r="N414" s="480"/>
      <c r="O414" s="480"/>
      <c r="P414" s="481"/>
      <c r="Q414" s="481"/>
      <c r="R414" s="413"/>
    </row>
    <row r="415" spans="1:18" s="450" customFormat="1" ht="14.1" customHeight="1" outlineLevel="1">
      <c r="A415" s="406"/>
      <c r="B415" s="492" t="s">
        <v>485</v>
      </c>
      <c r="C415" s="493"/>
      <c r="D415" s="493"/>
      <c r="E415" s="493"/>
      <c r="F415" s="493"/>
      <c r="G415" s="494">
        <v>-5000000000</v>
      </c>
      <c r="H415" s="455"/>
      <c r="I415" s="455"/>
      <c r="J415" s="184">
        <v>5000000000</v>
      </c>
      <c r="K415" s="455"/>
      <c r="L415" s="456"/>
      <c r="M415" s="456"/>
      <c r="N415" s="456"/>
      <c r="O415" s="456"/>
      <c r="P415" s="457"/>
      <c r="Q415" s="457"/>
      <c r="R415" s="413"/>
    </row>
    <row r="416" spans="1:18" s="450" customFormat="1" ht="14.1" customHeight="1" outlineLevel="2">
      <c r="A416" s="406"/>
      <c r="B416" s="495" t="s">
        <v>459</v>
      </c>
      <c r="C416" s="493"/>
      <c r="D416" s="493"/>
      <c r="E416" s="493"/>
      <c r="F416" s="493"/>
      <c r="G416" s="493"/>
      <c r="H416" s="455"/>
      <c r="I416" s="455"/>
      <c r="J416" s="455"/>
      <c r="K416" s="455"/>
      <c r="L416" s="456"/>
      <c r="M416" s="456"/>
      <c r="N416" s="456"/>
      <c r="O416" s="456"/>
      <c r="P416" s="457"/>
      <c r="Q416" s="457"/>
      <c r="R416" s="413"/>
    </row>
    <row r="417" spans="1:18" s="450" customFormat="1" ht="14.1" customHeight="1" outlineLevel="2">
      <c r="A417" s="406"/>
      <c r="B417" s="459" t="s">
        <v>486</v>
      </c>
      <c r="C417" s="493"/>
      <c r="D417" s="493"/>
      <c r="E417" s="493"/>
      <c r="F417" s="493"/>
      <c r="G417" s="493"/>
      <c r="H417" s="455"/>
      <c r="I417" s="455"/>
      <c r="J417" s="455"/>
      <c r="K417" s="455"/>
      <c r="L417" s="456"/>
      <c r="M417" s="456"/>
      <c r="N417" s="456"/>
      <c r="O417" s="456"/>
      <c r="P417" s="457"/>
      <c r="Q417" s="457"/>
      <c r="R417" s="413"/>
    </row>
    <row r="418" spans="1:18" s="450" customFormat="1" ht="14.1" customHeight="1" outlineLevel="2">
      <c r="A418" s="406"/>
      <c r="B418" s="459" t="s">
        <v>336</v>
      </c>
      <c r="C418" s="493"/>
      <c r="D418" s="493"/>
      <c r="E418" s="493"/>
      <c r="F418" s="493"/>
      <c r="G418" s="493"/>
      <c r="H418" s="455"/>
      <c r="I418" s="455"/>
      <c r="J418" s="455"/>
      <c r="K418" s="455"/>
      <c r="L418" s="456"/>
      <c r="M418" s="456"/>
      <c r="N418" s="456"/>
      <c r="O418" s="456"/>
      <c r="P418" s="457"/>
      <c r="Q418" s="457"/>
      <c r="R418" s="413"/>
    </row>
    <row r="419" spans="1:18" s="450" customFormat="1" ht="14.1" customHeight="1" outlineLevel="2">
      <c r="A419" s="406"/>
      <c r="B419" s="459" t="s">
        <v>487</v>
      </c>
      <c r="C419" s="493"/>
      <c r="D419" s="493"/>
      <c r="E419" s="493"/>
      <c r="F419" s="493"/>
      <c r="G419" s="493"/>
      <c r="H419" s="455"/>
      <c r="I419" s="455"/>
      <c r="J419" s="455"/>
      <c r="K419" s="455"/>
      <c r="L419" s="456"/>
      <c r="M419" s="456"/>
      <c r="N419" s="456"/>
      <c r="O419" s="456"/>
      <c r="P419" s="457"/>
      <c r="Q419" s="457"/>
      <c r="R419" s="413"/>
    </row>
    <row r="420" spans="1:18" s="450" customFormat="1" ht="14.1" customHeight="1" outlineLevel="2">
      <c r="A420" s="406"/>
      <c r="B420" s="459" t="s">
        <v>338</v>
      </c>
      <c r="C420" s="493"/>
      <c r="D420" s="493"/>
      <c r="E420" s="493"/>
      <c r="F420" s="493"/>
      <c r="G420" s="493"/>
      <c r="H420" s="455"/>
      <c r="I420" s="455"/>
      <c r="J420" s="455"/>
      <c r="K420" s="455"/>
      <c r="L420" s="456"/>
      <c r="M420" s="456"/>
      <c r="N420" s="456"/>
      <c r="O420" s="456"/>
      <c r="P420" s="457"/>
      <c r="Q420" s="457"/>
      <c r="R420" s="413"/>
    </row>
    <row r="421" spans="1:18" s="450" customFormat="1" ht="14.1" customHeight="1" outlineLevel="2">
      <c r="A421" s="406"/>
      <c r="B421" s="459" t="s">
        <v>421</v>
      </c>
      <c r="C421" s="493"/>
      <c r="D421" s="493"/>
      <c r="E421" s="493"/>
      <c r="F421" s="493"/>
      <c r="G421" s="493"/>
      <c r="H421" s="455"/>
      <c r="I421" s="455"/>
      <c r="J421" s="455"/>
      <c r="K421" s="455"/>
      <c r="L421" s="456"/>
      <c r="M421" s="456"/>
      <c r="N421" s="456"/>
      <c r="O421" s="456"/>
      <c r="P421" s="457"/>
      <c r="Q421" s="457"/>
      <c r="R421" s="413"/>
    </row>
    <row r="422" spans="1:18" s="450" customFormat="1" ht="14.1" customHeight="1" outlineLevel="2">
      <c r="A422" s="406"/>
      <c r="B422" s="459" t="s">
        <v>488</v>
      </c>
      <c r="C422" s="493"/>
      <c r="D422" s="493"/>
      <c r="E422" s="493"/>
      <c r="F422" s="493"/>
      <c r="G422" s="493"/>
      <c r="H422" s="455"/>
      <c r="I422" s="455"/>
      <c r="J422" s="455"/>
      <c r="K422" s="455"/>
      <c r="L422" s="456"/>
      <c r="M422" s="456"/>
      <c r="N422" s="456"/>
      <c r="O422" s="456"/>
      <c r="P422" s="457"/>
      <c r="Q422" s="457"/>
      <c r="R422" s="413"/>
    </row>
    <row r="423" spans="1:18" s="450" customFormat="1" ht="14.1" customHeight="1" outlineLevel="2">
      <c r="A423" s="406"/>
      <c r="B423" s="459" t="s">
        <v>489</v>
      </c>
      <c r="C423" s="493"/>
      <c r="D423" s="493"/>
      <c r="E423" s="493"/>
      <c r="F423" s="493"/>
      <c r="G423" s="493"/>
      <c r="H423" s="455"/>
      <c r="I423" s="455"/>
      <c r="J423" s="455"/>
      <c r="K423" s="455"/>
      <c r="L423" s="456"/>
      <c r="M423" s="456"/>
      <c r="N423" s="456"/>
      <c r="O423" s="456"/>
      <c r="P423" s="457"/>
      <c r="Q423" s="457"/>
      <c r="R423" s="413"/>
    </row>
    <row r="424" spans="1:18" s="450" customFormat="1" ht="14.1" customHeight="1" outlineLevel="2">
      <c r="A424" s="406"/>
      <c r="B424" s="459" t="s">
        <v>490</v>
      </c>
      <c r="C424" s="493"/>
      <c r="D424" s="493"/>
      <c r="E424" s="493"/>
      <c r="F424" s="493"/>
      <c r="G424" s="493"/>
      <c r="H424" s="455"/>
      <c r="I424" s="455"/>
      <c r="J424" s="455"/>
      <c r="K424" s="455"/>
      <c r="L424" s="456"/>
      <c r="M424" s="456"/>
      <c r="N424" s="456"/>
      <c r="O424" s="456"/>
      <c r="P424" s="457"/>
      <c r="Q424" s="457"/>
      <c r="R424" s="413"/>
    </row>
    <row r="425" spans="1:18" s="450" customFormat="1" ht="14.1" customHeight="1" outlineLevel="2">
      <c r="A425" s="406"/>
      <c r="B425" s="459" t="s">
        <v>491</v>
      </c>
      <c r="C425" s="493"/>
      <c r="D425" s="493"/>
      <c r="E425" s="493"/>
      <c r="F425" s="493"/>
      <c r="G425" s="493"/>
      <c r="H425" s="455"/>
      <c r="I425" s="455"/>
      <c r="J425" s="455"/>
      <c r="K425" s="455"/>
      <c r="L425" s="456"/>
      <c r="M425" s="456"/>
      <c r="N425" s="456"/>
      <c r="O425" s="456"/>
      <c r="P425" s="457"/>
      <c r="Q425" s="457"/>
      <c r="R425" s="413"/>
    </row>
    <row r="426" spans="1:18" s="450" customFormat="1" ht="14.1" customHeight="1" outlineLevel="2">
      <c r="A426" s="406"/>
      <c r="B426" s="459" t="s">
        <v>492</v>
      </c>
      <c r="C426" s="493"/>
      <c r="D426" s="493"/>
      <c r="E426" s="493"/>
      <c r="F426" s="493"/>
      <c r="G426" s="493"/>
      <c r="H426" s="455"/>
      <c r="I426" s="455"/>
      <c r="J426" s="455"/>
      <c r="K426" s="455"/>
      <c r="L426" s="456"/>
      <c r="M426" s="456"/>
      <c r="N426" s="456"/>
      <c r="O426" s="456"/>
      <c r="P426" s="457"/>
      <c r="Q426" s="457"/>
      <c r="R426" s="413"/>
    </row>
    <row r="427" spans="1:18" s="450" customFormat="1" ht="14.1" customHeight="1" outlineLevel="2">
      <c r="A427" s="406"/>
      <c r="B427" s="459" t="s">
        <v>493</v>
      </c>
      <c r="C427" s="493"/>
      <c r="D427" s="493"/>
      <c r="E427" s="493"/>
      <c r="F427" s="493"/>
      <c r="G427" s="493"/>
      <c r="H427" s="455"/>
      <c r="I427" s="455"/>
      <c r="J427" s="455"/>
      <c r="K427" s="455"/>
      <c r="L427" s="456"/>
      <c r="M427" s="456"/>
      <c r="N427" s="456"/>
      <c r="O427" s="456"/>
      <c r="P427" s="457"/>
      <c r="Q427" s="457"/>
      <c r="R427" s="413"/>
    </row>
    <row r="428" spans="1:18" s="450" customFormat="1" ht="14.1" customHeight="1" outlineLevel="2">
      <c r="A428" s="406"/>
      <c r="B428" s="459" t="s">
        <v>494</v>
      </c>
      <c r="C428" s="493"/>
      <c r="D428" s="493"/>
      <c r="E428" s="493"/>
      <c r="F428" s="493"/>
      <c r="G428" s="493"/>
      <c r="H428" s="455"/>
      <c r="I428" s="455"/>
      <c r="J428" s="455"/>
      <c r="K428" s="455"/>
      <c r="L428" s="456"/>
      <c r="M428" s="456"/>
      <c r="N428" s="456"/>
      <c r="O428" s="456"/>
      <c r="P428" s="457"/>
      <c r="Q428" s="457"/>
      <c r="R428" s="413"/>
    </row>
    <row r="429" spans="1:18" s="450" customFormat="1" ht="14.1" customHeight="1" outlineLevel="2">
      <c r="A429" s="406"/>
      <c r="B429" s="459" t="s">
        <v>495</v>
      </c>
      <c r="C429" s="493"/>
      <c r="D429" s="493"/>
      <c r="E429" s="493"/>
      <c r="F429" s="493"/>
      <c r="G429" s="493"/>
      <c r="H429" s="455"/>
      <c r="I429" s="455"/>
      <c r="J429" s="455"/>
      <c r="K429" s="455"/>
      <c r="L429" s="456"/>
      <c r="M429" s="456"/>
      <c r="N429" s="456"/>
      <c r="O429" s="456"/>
      <c r="P429" s="457"/>
      <c r="Q429" s="457"/>
      <c r="R429" s="413"/>
    </row>
    <row r="430" spans="1:18" s="450" customFormat="1" ht="14.1" customHeight="1" outlineLevel="2">
      <c r="A430" s="406"/>
      <c r="B430" s="459" t="s">
        <v>496</v>
      </c>
      <c r="C430" s="493"/>
      <c r="D430" s="493"/>
      <c r="E430" s="493"/>
      <c r="F430" s="493"/>
      <c r="G430" s="493"/>
      <c r="H430" s="455"/>
      <c r="I430" s="455"/>
      <c r="J430" s="455"/>
      <c r="K430" s="455"/>
      <c r="L430" s="456"/>
      <c r="M430" s="456"/>
      <c r="N430" s="456"/>
      <c r="O430" s="456"/>
      <c r="P430" s="457"/>
      <c r="Q430" s="457"/>
      <c r="R430" s="413"/>
    </row>
    <row r="431" spans="1:18" s="450" customFormat="1" ht="14.1" customHeight="1" outlineLevel="2">
      <c r="A431" s="406"/>
      <c r="B431" s="459" t="s">
        <v>497</v>
      </c>
      <c r="C431" s="493"/>
      <c r="D431" s="493"/>
      <c r="E431" s="493"/>
      <c r="F431" s="493"/>
      <c r="G431" s="493"/>
      <c r="H431" s="455"/>
      <c r="I431" s="455"/>
      <c r="J431" s="455"/>
      <c r="K431" s="455"/>
      <c r="L431" s="456"/>
      <c r="M431" s="456"/>
      <c r="N431" s="456"/>
      <c r="O431" s="456"/>
      <c r="P431" s="457"/>
      <c r="Q431" s="457"/>
      <c r="R431" s="413"/>
    </row>
    <row r="432" spans="1:18" s="450" customFormat="1" ht="14.1" customHeight="1" outlineLevel="2">
      <c r="A432" s="406"/>
      <c r="B432" s="459" t="s">
        <v>498</v>
      </c>
      <c r="C432" s="493"/>
      <c r="D432" s="493"/>
      <c r="E432" s="493"/>
      <c r="F432" s="493"/>
      <c r="G432" s="493"/>
      <c r="H432" s="455"/>
      <c r="I432" s="455"/>
      <c r="J432" s="455"/>
      <c r="K432" s="455"/>
      <c r="L432" s="456"/>
      <c r="M432" s="456"/>
      <c r="N432" s="456"/>
      <c r="O432" s="456"/>
      <c r="P432" s="457"/>
      <c r="Q432" s="457"/>
      <c r="R432" s="413"/>
    </row>
    <row r="433" spans="1:18" s="450" customFormat="1" ht="14.1" customHeight="1" outlineLevel="2">
      <c r="A433" s="406"/>
      <c r="B433" s="459" t="s">
        <v>499</v>
      </c>
      <c r="C433" s="493"/>
      <c r="D433" s="493"/>
      <c r="E433" s="493"/>
      <c r="F433" s="493"/>
      <c r="G433" s="493"/>
      <c r="H433" s="455"/>
      <c r="I433" s="455"/>
      <c r="J433" s="455"/>
      <c r="K433" s="455"/>
      <c r="L433" s="456"/>
      <c r="M433" s="456"/>
      <c r="N433" s="456"/>
      <c r="O433" s="456"/>
      <c r="P433" s="457"/>
      <c r="Q433" s="457"/>
      <c r="R433" s="413"/>
    </row>
    <row r="434" spans="1:18" s="450" customFormat="1" ht="14.1" customHeight="1" outlineLevel="2">
      <c r="A434" s="406"/>
      <c r="B434" s="459" t="s">
        <v>349</v>
      </c>
      <c r="C434" s="493"/>
      <c r="D434" s="493"/>
      <c r="E434" s="493"/>
      <c r="F434" s="493"/>
      <c r="G434" s="493"/>
      <c r="H434" s="455"/>
      <c r="I434" s="455"/>
      <c r="J434" s="455"/>
      <c r="K434" s="455"/>
      <c r="L434" s="456"/>
      <c r="M434" s="456"/>
      <c r="N434" s="456"/>
      <c r="O434" s="456"/>
      <c r="P434" s="457"/>
      <c r="Q434" s="457"/>
      <c r="R434" s="413"/>
    </row>
    <row r="435" spans="1:18" s="450" customFormat="1" ht="14.1" customHeight="1" outlineLevel="2" collapsed="1">
      <c r="A435" s="406"/>
      <c r="B435" s="459" t="s">
        <v>350</v>
      </c>
      <c r="C435" s="493"/>
      <c r="D435" s="493"/>
      <c r="E435" s="493"/>
      <c r="F435" s="493"/>
      <c r="G435" s="493"/>
      <c r="H435" s="455"/>
      <c r="I435" s="455"/>
      <c r="J435" s="455"/>
      <c r="K435" s="455"/>
      <c r="L435" s="456"/>
      <c r="M435" s="456"/>
      <c r="N435" s="456"/>
      <c r="O435" s="456"/>
      <c r="P435" s="457"/>
      <c r="Q435" s="457"/>
      <c r="R435" s="413"/>
    </row>
    <row r="436" spans="1:18" s="450" customFormat="1" ht="14.1" customHeight="1" outlineLevel="2" collapsed="1">
      <c r="A436" s="406"/>
      <c r="B436" s="459" t="s">
        <v>351</v>
      </c>
      <c r="C436" s="493"/>
      <c r="D436" s="493"/>
      <c r="E436" s="493"/>
      <c r="F436" s="493"/>
      <c r="G436" s="493"/>
      <c r="H436" s="455"/>
      <c r="I436" s="455"/>
      <c r="J436" s="455"/>
      <c r="K436" s="455"/>
      <c r="L436" s="456"/>
      <c r="M436" s="456"/>
      <c r="N436" s="456"/>
      <c r="O436" s="456"/>
      <c r="P436" s="457"/>
      <c r="Q436" s="457"/>
      <c r="R436" s="413"/>
    </row>
    <row r="437" spans="1:18" s="450" customFormat="1" ht="14.1" customHeight="1" outlineLevel="2" collapsed="1">
      <c r="A437" s="406"/>
      <c r="B437" s="459" t="s">
        <v>500</v>
      </c>
      <c r="C437" s="493"/>
      <c r="D437" s="493"/>
      <c r="E437" s="493"/>
      <c r="F437" s="493"/>
      <c r="G437" s="493"/>
      <c r="H437" s="455"/>
      <c r="I437" s="455"/>
      <c r="J437" s="455"/>
      <c r="K437" s="455"/>
      <c r="L437" s="456"/>
      <c r="M437" s="456"/>
      <c r="N437" s="456"/>
      <c r="O437" s="456"/>
      <c r="P437" s="457"/>
      <c r="Q437" s="457"/>
      <c r="R437" s="413"/>
    </row>
    <row r="438" spans="1:18" s="450" customFormat="1" ht="14.1" customHeight="1" outlineLevel="2">
      <c r="A438" s="406"/>
      <c r="B438" s="459" t="s">
        <v>501</v>
      </c>
      <c r="C438" s="493"/>
      <c r="D438" s="493"/>
      <c r="E438" s="493"/>
      <c r="F438" s="493"/>
      <c r="G438" s="493"/>
      <c r="H438" s="455"/>
      <c r="I438" s="455"/>
      <c r="J438" s="455"/>
      <c r="K438" s="455"/>
      <c r="L438" s="456"/>
      <c r="M438" s="456"/>
      <c r="N438" s="456"/>
      <c r="O438" s="456"/>
      <c r="P438" s="457"/>
      <c r="Q438" s="457"/>
      <c r="R438" s="413"/>
    </row>
    <row r="439" spans="1:18" s="450" customFormat="1" ht="14.1" customHeight="1" outlineLevel="2" collapsed="1">
      <c r="A439" s="406"/>
      <c r="B439" s="459"/>
      <c r="C439" s="493"/>
      <c r="D439" s="493"/>
      <c r="E439" s="493"/>
      <c r="F439" s="493"/>
      <c r="G439" s="493"/>
      <c r="H439" s="455"/>
      <c r="I439" s="455"/>
      <c r="J439" s="455"/>
      <c r="K439" s="455"/>
      <c r="L439" s="455"/>
      <c r="M439" s="455"/>
      <c r="N439" s="455"/>
      <c r="O439" s="455"/>
      <c r="P439" s="454"/>
      <c r="Q439" s="454"/>
      <c r="R439" s="413"/>
    </row>
    <row r="440" spans="1:18" s="450" customFormat="1" ht="14.1" customHeight="1" outlineLevel="1">
      <c r="A440" s="406"/>
      <c r="B440" s="475" t="s">
        <v>502</v>
      </c>
      <c r="C440" s="476"/>
      <c r="D440" s="476"/>
      <c r="E440" s="476"/>
      <c r="F440" s="476"/>
      <c r="G440" s="476"/>
      <c r="H440" s="477">
        <v>-5000000000</v>
      </c>
      <c r="I440" s="478"/>
      <c r="J440" s="478"/>
      <c r="K440" s="477">
        <v>5000000000</v>
      </c>
      <c r="L440" s="480"/>
      <c r="M440" s="480"/>
      <c r="N440" s="480"/>
      <c r="O440" s="480"/>
      <c r="P440" s="481"/>
      <c r="Q440" s="481"/>
      <c r="R440" s="413"/>
    </row>
    <row r="441" spans="1:18" s="450" customFormat="1" ht="14.1" customHeight="1" outlineLevel="2">
      <c r="A441" s="406"/>
      <c r="B441" s="482" t="s">
        <v>459</v>
      </c>
      <c r="C441" s="476"/>
      <c r="D441" s="476"/>
      <c r="E441" s="476"/>
      <c r="F441" s="476"/>
      <c r="G441" s="476"/>
      <c r="H441" s="478"/>
      <c r="I441" s="478"/>
      <c r="J441" s="478"/>
      <c r="K441" s="479"/>
      <c r="L441" s="480"/>
      <c r="M441" s="480"/>
      <c r="N441" s="480"/>
      <c r="O441" s="480"/>
      <c r="P441" s="481"/>
      <c r="Q441" s="481"/>
      <c r="R441" s="413"/>
    </row>
    <row r="442" spans="1:18" s="450" customFormat="1" ht="14.1" customHeight="1" outlineLevel="2">
      <c r="A442" s="406"/>
      <c r="B442" s="482" t="s">
        <v>486</v>
      </c>
      <c r="C442" s="476"/>
      <c r="D442" s="476"/>
      <c r="E442" s="476"/>
      <c r="F442" s="476"/>
      <c r="G442" s="476"/>
      <c r="H442" s="478"/>
      <c r="I442" s="478"/>
      <c r="J442" s="478"/>
      <c r="K442" s="483"/>
      <c r="L442" s="480"/>
      <c r="M442" s="480"/>
      <c r="N442" s="480"/>
      <c r="O442" s="480"/>
      <c r="P442" s="481"/>
      <c r="Q442" s="481"/>
      <c r="R442" s="413"/>
    </row>
    <row r="443" spans="1:18" s="450" customFormat="1" ht="14.1" customHeight="1" outlineLevel="2">
      <c r="A443" s="406"/>
      <c r="B443" s="482" t="s">
        <v>336</v>
      </c>
      <c r="C443" s="476"/>
      <c r="D443" s="476"/>
      <c r="E443" s="476"/>
      <c r="F443" s="476"/>
      <c r="G443" s="476"/>
      <c r="H443" s="478"/>
      <c r="I443" s="478"/>
      <c r="J443" s="478"/>
      <c r="K443" s="484"/>
      <c r="L443" s="480"/>
      <c r="M443" s="480"/>
      <c r="N443" s="480"/>
      <c r="O443" s="480"/>
      <c r="P443" s="481"/>
      <c r="Q443" s="481"/>
      <c r="R443" s="413"/>
    </row>
    <row r="444" spans="1:18" s="450" customFormat="1" ht="14.1" customHeight="1" outlineLevel="2">
      <c r="A444" s="406"/>
      <c r="B444" s="482" t="s">
        <v>503</v>
      </c>
      <c r="C444" s="476"/>
      <c r="D444" s="476"/>
      <c r="E444" s="476"/>
      <c r="F444" s="476"/>
      <c r="G444" s="476"/>
      <c r="H444" s="478"/>
      <c r="I444" s="478"/>
      <c r="J444" s="478"/>
      <c r="K444" s="485"/>
      <c r="L444" s="480"/>
      <c r="M444" s="480"/>
      <c r="N444" s="480"/>
      <c r="O444" s="480"/>
      <c r="P444" s="481"/>
      <c r="Q444" s="481"/>
      <c r="R444" s="413"/>
    </row>
    <row r="445" spans="1:18" s="450" customFormat="1" ht="14.1" customHeight="1" outlineLevel="2">
      <c r="A445" s="406"/>
      <c r="B445" s="482" t="s">
        <v>338</v>
      </c>
      <c r="C445" s="476"/>
      <c r="D445" s="476"/>
      <c r="E445" s="476"/>
      <c r="F445" s="476"/>
      <c r="G445" s="476"/>
      <c r="H445" s="478"/>
      <c r="I445" s="478"/>
      <c r="J445" s="478"/>
      <c r="K445" s="486"/>
      <c r="L445" s="480"/>
      <c r="M445" s="480"/>
      <c r="N445" s="480"/>
      <c r="O445" s="480"/>
      <c r="P445" s="481"/>
      <c r="Q445" s="481"/>
      <c r="R445" s="413"/>
    </row>
    <row r="446" spans="1:18" s="450" customFormat="1" ht="14.1" customHeight="1" outlineLevel="2">
      <c r="A446" s="406"/>
      <c r="B446" s="482" t="s">
        <v>504</v>
      </c>
      <c r="C446" s="476"/>
      <c r="D446" s="476"/>
      <c r="E446" s="476"/>
      <c r="F446" s="476"/>
      <c r="G446" s="476"/>
      <c r="H446" s="478"/>
      <c r="I446" s="478"/>
      <c r="J446" s="478"/>
      <c r="K446" s="487"/>
      <c r="L446" s="480"/>
      <c r="M446" s="480"/>
      <c r="N446" s="480"/>
      <c r="O446" s="480"/>
      <c r="P446" s="481"/>
      <c r="Q446" s="481"/>
      <c r="R446" s="413"/>
    </row>
    <row r="447" spans="1:18" s="450" customFormat="1" ht="14.1" customHeight="1" outlineLevel="2">
      <c r="A447" s="406"/>
      <c r="B447" s="482" t="s">
        <v>488</v>
      </c>
      <c r="C447" s="476"/>
      <c r="D447" s="476"/>
      <c r="E447" s="476"/>
      <c r="F447" s="476"/>
      <c r="G447" s="476"/>
      <c r="H447" s="478"/>
      <c r="I447" s="478"/>
      <c r="J447" s="478"/>
      <c r="K447" s="487"/>
      <c r="L447" s="480"/>
      <c r="M447" s="480"/>
      <c r="N447" s="480"/>
      <c r="O447" s="480"/>
      <c r="P447" s="481"/>
      <c r="Q447" s="481"/>
      <c r="R447" s="413"/>
    </row>
    <row r="448" spans="1:18" s="450" customFormat="1" ht="14.1" customHeight="1" outlineLevel="2">
      <c r="A448" s="406"/>
      <c r="B448" s="482" t="s">
        <v>505</v>
      </c>
      <c r="C448" s="476"/>
      <c r="D448" s="476"/>
      <c r="E448" s="476"/>
      <c r="F448" s="476"/>
      <c r="G448" s="476"/>
      <c r="H448" s="478"/>
      <c r="I448" s="478"/>
      <c r="J448" s="478"/>
      <c r="K448" s="483"/>
      <c r="L448" s="480"/>
      <c r="M448" s="480"/>
      <c r="N448" s="480"/>
      <c r="O448" s="480"/>
      <c r="P448" s="481"/>
      <c r="Q448" s="481"/>
      <c r="R448" s="413"/>
    </row>
    <row r="449" spans="1:18" s="450" customFormat="1" ht="14.1" customHeight="1" outlineLevel="2">
      <c r="A449" s="406"/>
      <c r="B449" s="482" t="s">
        <v>506</v>
      </c>
      <c r="C449" s="476"/>
      <c r="D449" s="476"/>
      <c r="E449" s="476"/>
      <c r="F449" s="476"/>
      <c r="G449" s="476"/>
      <c r="H449" s="478"/>
      <c r="I449" s="478"/>
      <c r="J449" s="478"/>
      <c r="K449" s="488"/>
      <c r="L449" s="480"/>
      <c r="M449" s="480"/>
      <c r="N449" s="480"/>
      <c r="O449" s="480"/>
      <c r="P449" s="481"/>
      <c r="Q449" s="481"/>
      <c r="R449" s="413"/>
    </row>
    <row r="450" spans="1:18" s="450" customFormat="1" ht="14.1" customHeight="1" outlineLevel="2">
      <c r="A450" s="406"/>
      <c r="B450" s="482" t="s">
        <v>507</v>
      </c>
      <c r="C450" s="476"/>
      <c r="D450" s="476"/>
      <c r="E450" s="476"/>
      <c r="F450" s="476"/>
      <c r="G450" s="476"/>
      <c r="H450" s="478"/>
      <c r="I450" s="478"/>
      <c r="J450" s="478"/>
      <c r="K450" s="489"/>
      <c r="L450" s="480"/>
      <c r="M450" s="480"/>
      <c r="N450" s="480"/>
      <c r="O450" s="480"/>
      <c r="P450" s="481"/>
      <c r="Q450" s="481"/>
      <c r="R450" s="413"/>
    </row>
    <row r="451" spans="1:18" s="450" customFormat="1" ht="14.1" customHeight="1" outlineLevel="2">
      <c r="A451" s="406"/>
      <c r="B451" s="482" t="s">
        <v>508</v>
      </c>
      <c r="C451" s="476"/>
      <c r="D451" s="476"/>
      <c r="E451" s="476"/>
      <c r="F451" s="476"/>
      <c r="G451" s="476"/>
      <c r="H451" s="478"/>
      <c r="I451" s="478"/>
      <c r="J451" s="478"/>
      <c r="K451" s="489"/>
      <c r="L451" s="480"/>
      <c r="M451" s="480"/>
      <c r="N451" s="480"/>
      <c r="O451" s="480"/>
      <c r="P451" s="481"/>
      <c r="Q451" s="481"/>
      <c r="R451" s="413"/>
    </row>
    <row r="452" spans="1:18" s="450" customFormat="1" ht="14.1" customHeight="1" outlineLevel="2">
      <c r="A452" s="406"/>
      <c r="B452" s="482" t="s">
        <v>509</v>
      </c>
      <c r="C452" s="476"/>
      <c r="D452" s="476"/>
      <c r="E452" s="476"/>
      <c r="F452" s="476"/>
      <c r="G452" s="476"/>
      <c r="H452" s="478"/>
      <c r="I452" s="478"/>
      <c r="J452" s="478"/>
      <c r="K452" s="489"/>
      <c r="L452" s="480"/>
      <c r="M452" s="480"/>
      <c r="N452" s="480"/>
      <c r="O452" s="480"/>
      <c r="P452" s="481"/>
      <c r="Q452" s="481"/>
      <c r="R452" s="413"/>
    </row>
    <row r="453" spans="1:18" s="450" customFormat="1" ht="14.1" customHeight="1" outlineLevel="2">
      <c r="A453" s="406"/>
      <c r="B453" s="482" t="s">
        <v>510</v>
      </c>
      <c r="C453" s="476"/>
      <c r="D453" s="476"/>
      <c r="E453" s="476"/>
      <c r="F453" s="476"/>
      <c r="G453" s="476"/>
      <c r="H453" s="478"/>
      <c r="I453" s="478"/>
      <c r="J453" s="478"/>
      <c r="K453" s="489"/>
      <c r="L453" s="480"/>
      <c r="M453" s="480"/>
      <c r="N453" s="480"/>
      <c r="O453" s="480"/>
      <c r="P453" s="481"/>
      <c r="Q453" s="481"/>
      <c r="R453" s="413"/>
    </row>
    <row r="454" spans="1:18" s="450" customFormat="1" ht="14.1" customHeight="1" outlineLevel="2">
      <c r="A454" s="406"/>
      <c r="B454" s="482" t="s">
        <v>511</v>
      </c>
      <c r="C454" s="476"/>
      <c r="D454" s="476"/>
      <c r="E454" s="476"/>
      <c r="F454" s="476"/>
      <c r="G454" s="476"/>
      <c r="H454" s="478"/>
      <c r="I454" s="478"/>
      <c r="J454" s="478"/>
      <c r="K454" s="489"/>
      <c r="L454" s="480"/>
      <c r="M454" s="480"/>
      <c r="N454" s="480"/>
      <c r="O454" s="480"/>
      <c r="P454" s="481"/>
      <c r="Q454" s="481"/>
      <c r="R454" s="413"/>
    </row>
    <row r="455" spans="1:18" s="450" customFormat="1" ht="14.1" customHeight="1" outlineLevel="2">
      <c r="A455" s="406"/>
      <c r="B455" s="482" t="s">
        <v>512</v>
      </c>
      <c r="C455" s="476"/>
      <c r="D455" s="476"/>
      <c r="E455" s="476"/>
      <c r="F455" s="476"/>
      <c r="G455" s="476"/>
      <c r="H455" s="478"/>
      <c r="I455" s="478"/>
      <c r="J455" s="478"/>
      <c r="K455" s="489"/>
      <c r="L455" s="480"/>
      <c r="M455" s="480"/>
      <c r="N455" s="480"/>
      <c r="O455" s="480"/>
      <c r="P455" s="481"/>
      <c r="Q455" s="481"/>
      <c r="R455" s="413"/>
    </row>
    <row r="456" spans="1:18" s="450" customFormat="1" ht="14.1" customHeight="1" outlineLevel="2">
      <c r="A456" s="406"/>
      <c r="B456" s="482" t="s">
        <v>513</v>
      </c>
      <c r="C456" s="476"/>
      <c r="D456" s="476"/>
      <c r="E456" s="476"/>
      <c r="F456" s="476"/>
      <c r="G456" s="476"/>
      <c r="H456" s="478"/>
      <c r="I456" s="478"/>
      <c r="J456" s="478"/>
      <c r="K456" s="489"/>
      <c r="L456" s="480"/>
      <c r="M456" s="480"/>
      <c r="N456" s="480"/>
      <c r="O456" s="480"/>
      <c r="P456" s="481"/>
      <c r="Q456" s="481"/>
      <c r="R456" s="413"/>
    </row>
    <row r="457" spans="1:18" s="450" customFormat="1" ht="14.1" customHeight="1" outlineLevel="2">
      <c r="A457" s="406"/>
      <c r="B457" s="482" t="s">
        <v>514</v>
      </c>
      <c r="C457" s="476"/>
      <c r="D457" s="476"/>
      <c r="E457" s="476"/>
      <c r="F457" s="476"/>
      <c r="G457" s="476"/>
      <c r="H457" s="478"/>
      <c r="I457" s="478"/>
      <c r="J457" s="478"/>
      <c r="K457" s="489"/>
      <c r="L457" s="480"/>
      <c r="M457" s="480"/>
      <c r="N457" s="480"/>
      <c r="O457" s="480"/>
      <c r="P457" s="481"/>
      <c r="Q457" s="481"/>
      <c r="R457" s="413"/>
    </row>
    <row r="458" spans="1:18" s="450" customFormat="1" ht="14.1" customHeight="1" outlineLevel="2">
      <c r="A458" s="406"/>
      <c r="B458" s="482" t="s">
        <v>515</v>
      </c>
      <c r="C458" s="476"/>
      <c r="D458" s="476"/>
      <c r="E458" s="476"/>
      <c r="F458" s="476"/>
      <c r="G458" s="476"/>
      <c r="H458" s="478"/>
      <c r="I458" s="478"/>
      <c r="J458" s="478"/>
      <c r="K458" s="489"/>
      <c r="L458" s="480"/>
      <c r="M458" s="480"/>
      <c r="N458" s="480"/>
      <c r="O458" s="480"/>
      <c r="P458" s="481"/>
      <c r="Q458" s="481"/>
      <c r="R458" s="413"/>
    </row>
    <row r="459" spans="1:18" s="450" customFormat="1" ht="14.1" customHeight="1" outlineLevel="2">
      <c r="A459" s="406"/>
      <c r="B459" s="482" t="s">
        <v>349</v>
      </c>
      <c r="C459" s="476"/>
      <c r="D459" s="476"/>
      <c r="E459" s="476"/>
      <c r="F459" s="476"/>
      <c r="G459" s="476"/>
      <c r="H459" s="478"/>
      <c r="I459" s="478"/>
      <c r="J459" s="478"/>
      <c r="K459" s="490"/>
      <c r="L459" s="480"/>
      <c r="M459" s="480"/>
      <c r="N459" s="480"/>
      <c r="O459" s="480"/>
      <c r="P459" s="481"/>
      <c r="Q459" s="481"/>
      <c r="R459" s="413"/>
    </row>
    <row r="460" spans="1:18" s="450" customFormat="1" ht="14.1" customHeight="1" outlineLevel="2">
      <c r="A460" s="406"/>
      <c r="B460" s="482" t="s">
        <v>350</v>
      </c>
      <c r="C460" s="476"/>
      <c r="D460" s="476"/>
      <c r="E460" s="476"/>
      <c r="F460" s="476"/>
      <c r="G460" s="476"/>
      <c r="H460" s="478"/>
      <c r="I460" s="478"/>
      <c r="J460" s="478"/>
      <c r="K460" s="477"/>
      <c r="L460" s="480"/>
      <c r="M460" s="480"/>
      <c r="N460" s="480"/>
      <c r="O460" s="480"/>
      <c r="P460" s="481"/>
      <c r="Q460" s="481"/>
      <c r="R460" s="413"/>
    </row>
    <row r="461" spans="1:18" s="450" customFormat="1" ht="14.1" customHeight="1" outlineLevel="2">
      <c r="A461" s="406"/>
      <c r="B461" s="482" t="s">
        <v>516</v>
      </c>
      <c r="C461" s="476"/>
      <c r="D461" s="476"/>
      <c r="E461" s="476"/>
      <c r="F461" s="476"/>
      <c r="G461" s="476"/>
      <c r="H461" s="478"/>
      <c r="I461" s="478"/>
      <c r="J461" s="478"/>
      <c r="K461" s="483"/>
      <c r="L461" s="480"/>
      <c r="M461" s="480"/>
      <c r="N461" s="480"/>
      <c r="O461" s="480"/>
      <c r="P461" s="481"/>
      <c r="Q461" s="481"/>
      <c r="R461" s="413"/>
    </row>
    <row r="462" spans="1:18" s="450" customFormat="1" ht="14.1" customHeight="1" outlineLevel="2">
      <c r="A462" s="406"/>
      <c r="B462" s="482" t="s">
        <v>517</v>
      </c>
      <c r="C462" s="476"/>
      <c r="D462" s="476"/>
      <c r="E462" s="476"/>
      <c r="F462" s="476"/>
      <c r="G462" s="476"/>
      <c r="H462" s="478"/>
      <c r="I462" s="478"/>
      <c r="J462" s="478"/>
      <c r="K462" s="479"/>
      <c r="L462" s="480"/>
      <c r="M462" s="480"/>
      <c r="N462" s="480"/>
      <c r="O462" s="480"/>
      <c r="P462" s="481"/>
      <c r="Q462" s="481"/>
      <c r="R462" s="413"/>
    </row>
    <row r="463" spans="1:18" s="450" customFormat="1" ht="14.1" customHeight="1" outlineLevel="2">
      <c r="A463" s="406"/>
      <c r="B463" s="482" t="s">
        <v>518</v>
      </c>
      <c r="C463" s="476"/>
      <c r="D463" s="476"/>
      <c r="E463" s="476"/>
      <c r="F463" s="476"/>
      <c r="G463" s="476"/>
      <c r="H463" s="478"/>
      <c r="I463" s="478"/>
      <c r="J463" s="478"/>
      <c r="K463" s="483"/>
      <c r="L463" s="480"/>
      <c r="M463" s="480"/>
      <c r="N463" s="480"/>
      <c r="O463" s="480"/>
      <c r="P463" s="481"/>
      <c r="Q463" s="481"/>
      <c r="R463" s="413"/>
    </row>
    <row r="464" spans="1:18" s="450" customFormat="1" ht="14.1" customHeight="1" outlineLevel="2">
      <c r="A464" s="406"/>
      <c r="B464" s="491"/>
      <c r="C464" s="476"/>
      <c r="D464" s="476"/>
      <c r="E464" s="476"/>
      <c r="F464" s="476"/>
      <c r="G464" s="476"/>
      <c r="H464" s="478"/>
      <c r="I464" s="478"/>
      <c r="J464" s="478"/>
      <c r="K464" s="479"/>
      <c r="L464" s="480"/>
      <c r="M464" s="480"/>
      <c r="N464" s="480"/>
      <c r="O464" s="480"/>
      <c r="P464" s="481"/>
      <c r="Q464" s="481"/>
      <c r="R464" s="413"/>
    </row>
    <row r="465" spans="1:18" s="450" customFormat="1" ht="14.1" customHeight="1" outlineLevel="1">
      <c r="A465" s="406"/>
      <c r="B465" s="475" t="s">
        <v>519</v>
      </c>
      <c r="C465" s="476"/>
      <c r="D465" s="476"/>
      <c r="E465" s="476"/>
      <c r="F465" s="476"/>
      <c r="G465" s="476"/>
      <c r="H465" s="477">
        <v>-5000000000</v>
      </c>
      <c r="I465" s="478"/>
      <c r="J465" s="478"/>
      <c r="K465" s="477">
        <v>5000000000</v>
      </c>
      <c r="L465" s="480"/>
      <c r="M465" s="480"/>
      <c r="N465" s="480"/>
      <c r="O465" s="480"/>
      <c r="P465" s="481"/>
      <c r="Q465" s="481"/>
      <c r="R465" s="413"/>
    </row>
    <row r="466" spans="1:18" s="450" customFormat="1" ht="14.1" customHeight="1" outlineLevel="2">
      <c r="A466" s="406"/>
      <c r="B466" s="482" t="s">
        <v>419</v>
      </c>
      <c r="C466" s="476"/>
      <c r="D466" s="476"/>
      <c r="E466" s="476"/>
      <c r="F466" s="476"/>
      <c r="G466" s="476"/>
      <c r="H466" s="478"/>
      <c r="I466" s="478"/>
      <c r="J466" s="478"/>
      <c r="K466" s="479"/>
      <c r="L466" s="480"/>
      <c r="M466" s="480"/>
      <c r="N466" s="480"/>
      <c r="O466" s="480"/>
      <c r="P466" s="481"/>
      <c r="Q466" s="481"/>
      <c r="R466" s="413"/>
    </row>
    <row r="467" spans="1:18" s="450" customFormat="1" ht="14.1" customHeight="1" outlineLevel="2">
      <c r="A467" s="406"/>
      <c r="B467" s="482" t="s">
        <v>520</v>
      </c>
      <c r="C467" s="476"/>
      <c r="D467" s="476"/>
      <c r="E467" s="476"/>
      <c r="F467" s="476"/>
      <c r="G467" s="476"/>
      <c r="H467" s="478"/>
      <c r="I467" s="478"/>
      <c r="J467" s="478"/>
      <c r="K467" s="483"/>
      <c r="L467" s="480"/>
      <c r="M467" s="480"/>
      <c r="N467" s="480"/>
      <c r="O467" s="480"/>
      <c r="P467" s="481"/>
      <c r="Q467" s="481"/>
      <c r="R467" s="413"/>
    </row>
    <row r="468" spans="1:18" s="450" customFormat="1" ht="14.1" customHeight="1" outlineLevel="2">
      <c r="A468" s="406"/>
      <c r="B468" s="482" t="s">
        <v>336</v>
      </c>
      <c r="C468" s="476"/>
      <c r="D468" s="476"/>
      <c r="E468" s="476"/>
      <c r="F468" s="476"/>
      <c r="G468" s="476"/>
      <c r="H468" s="478"/>
      <c r="I468" s="478"/>
      <c r="J468" s="478"/>
      <c r="K468" s="484"/>
      <c r="L468" s="480"/>
      <c r="M468" s="480"/>
      <c r="N468" s="480"/>
      <c r="O468" s="480"/>
      <c r="P468" s="481"/>
      <c r="Q468" s="481"/>
      <c r="R468" s="413"/>
    </row>
    <row r="469" spans="1:18" s="450" customFormat="1" ht="14.1" customHeight="1" outlineLevel="2">
      <c r="A469" s="406"/>
      <c r="B469" s="482" t="s">
        <v>521</v>
      </c>
      <c r="C469" s="476"/>
      <c r="D469" s="476"/>
      <c r="E469" s="476"/>
      <c r="F469" s="476"/>
      <c r="G469" s="476"/>
      <c r="H469" s="478"/>
      <c r="I469" s="478"/>
      <c r="J469" s="478"/>
      <c r="K469" s="485"/>
      <c r="L469" s="480"/>
      <c r="M469" s="480"/>
      <c r="N469" s="480"/>
      <c r="O469" s="480"/>
      <c r="P469" s="481"/>
      <c r="Q469" s="481"/>
      <c r="R469" s="413"/>
    </row>
    <row r="470" spans="1:18" s="450" customFormat="1" ht="14.1" customHeight="1" outlineLevel="2">
      <c r="A470" s="406"/>
      <c r="B470" s="482" t="s">
        <v>338</v>
      </c>
      <c r="C470" s="476"/>
      <c r="D470" s="476"/>
      <c r="E470" s="476"/>
      <c r="F470" s="476"/>
      <c r="G470" s="476"/>
      <c r="H470" s="478"/>
      <c r="I470" s="478"/>
      <c r="J470" s="478"/>
      <c r="K470" s="486"/>
      <c r="L470" s="480"/>
      <c r="M470" s="480"/>
      <c r="N470" s="480"/>
      <c r="O470" s="480"/>
      <c r="P470" s="481"/>
      <c r="Q470" s="481"/>
      <c r="R470" s="413"/>
    </row>
    <row r="471" spans="1:18" s="450" customFormat="1" ht="14.1" customHeight="1" outlineLevel="2">
      <c r="A471" s="406"/>
      <c r="B471" s="482" t="s">
        <v>504</v>
      </c>
      <c r="C471" s="476"/>
      <c r="D471" s="476"/>
      <c r="E471" s="476"/>
      <c r="F471" s="476"/>
      <c r="G471" s="476"/>
      <c r="H471" s="478"/>
      <c r="I471" s="478"/>
      <c r="J471" s="478"/>
      <c r="K471" s="487"/>
      <c r="L471" s="480"/>
      <c r="M471" s="480"/>
      <c r="N471" s="480"/>
      <c r="O471" s="480"/>
      <c r="P471" s="481"/>
      <c r="Q471" s="481"/>
      <c r="R471" s="413"/>
    </row>
    <row r="472" spans="1:18" s="450" customFormat="1" ht="14.1" customHeight="1" outlineLevel="2">
      <c r="A472" s="406"/>
      <c r="B472" s="482" t="s">
        <v>488</v>
      </c>
      <c r="C472" s="476"/>
      <c r="D472" s="476"/>
      <c r="E472" s="476"/>
      <c r="F472" s="476"/>
      <c r="G472" s="476"/>
      <c r="H472" s="478"/>
      <c r="I472" s="478"/>
      <c r="J472" s="478"/>
      <c r="K472" s="487"/>
      <c r="L472" s="480"/>
      <c r="M472" s="480"/>
      <c r="N472" s="480"/>
      <c r="O472" s="480"/>
      <c r="P472" s="481"/>
      <c r="Q472" s="481"/>
      <c r="R472" s="413"/>
    </row>
    <row r="473" spans="1:18" s="450" customFormat="1" ht="14.1" customHeight="1" outlineLevel="2">
      <c r="A473" s="406"/>
      <c r="B473" s="482" t="s">
        <v>522</v>
      </c>
      <c r="C473" s="476"/>
      <c r="D473" s="476"/>
      <c r="E473" s="476"/>
      <c r="F473" s="476"/>
      <c r="G473" s="476"/>
      <c r="H473" s="478"/>
      <c r="I473" s="478"/>
      <c r="J473" s="478"/>
      <c r="K473" s="483"/>
      <c r="L473" s="480"/>
      <c r="M473" s="480"/>
      <c r="N473" s="480"/>
      <c r="O473" s="480"/>
      <c r="P473" s="481"/>
      <c r="Q473" s="481"/>
      <c r="R473" s="413"/>
    </row>
    <row r="474" spans="1:18" s="450" customFormat="1" ht="14.1" customHeight="1" outlineLevel="2">
      <c r="A474" s="406"/>
      <c r="B474" s="482" t="s">
        <v>523</v>
      </c>
      <c r="C474" s="476"/>
      <c r="D474" s="476"/>
      <c r="E474" s="476"/>
      <c r="F474" s="476"/>
      <c r="G474" s="476"/>
      <c r="H474" s="478"/>
      <c r="I474" s="478"/>
      <c r="J474" s="478"/>
      <c r="K474" s="488"/>
      <c r="L474" s="480"/>
      <c r="M474" s="480"/>
      <c r="N474" s="480"/>
      <c r="O474" s="480"/>
      <c r="P474" s="481"/>
      <c r="Q474" s="481"/>
      <c r="R474" s="413"/>
    </row>
    <row r="475" spans="1:18" s="450" customFormat="1" ht="14.1" customHeight="1" outlineLevel="2">
      <c r="A475" s="406"/>
      <c r="B475" s="482" t="s">
        <v>524</v>
      </c>
      <c r="C475" s="476"/>
      <c r="D475" s="476"/>
      <c r="E475" s="476"/>
      <c r="F475" s="476"/>
      <c r="G475" s="476"/>
      <c r="H475" s="478"/>
      <c r="I475" s="478"/>
      <c r="J475" s="478"/>
      <c r="K475" s="489"/>
      <c r="L475" s="480"/>
      <c r="M475" s="480"/>
      <c r="N475" s="480"/>
      <c r="O475" s="480"/>
      <c r="P475" s="481"/>
      <c r="Q475" s="481"/>
      <c r="R475" s="413"/>
    </row>
    <row r="476" spans="1:18" s="450" customFormat="1" ht="14.1" customHeight="1" outlineLevel="2">
      <c r="A476" s="406"/>
      <c r="B476" s="482" t="s">
        <v>525</v>
      </c>
      <c r="C476" s="476"/>
      <c r="D476" s="476"/>
      <c r="E476" s="476"/>
      <c r="F476" s="476"/>
      <c r="G476" s="476"/>
      <c r="H476" s="478"/>
      <c r="I476" s="478"/>
      <c r="J476" s="478"/>
      <c r="K476" s="489"/>
      <c r="L476" s="480"/>
      <c r="M476" s="480"/>
      <c r="N476" s="480"/>
      <c r="O476" s="480"/>
      <c r="P476" s="481"/>
      <c r="Q476" s="481"/>
      <c r="R476" s="413"/>
    </row>
    <row r="477" spans="1:18" s="450" customFormat="1" ht="14.1" customHeight="1" outlineLevel="2">
      <c r="A477" s="406"/>
      <c r="B477" s="482" t="s">
        <v>526</v>
      </c>
      <c r="C477" s="476"/>
      <c r="D477" s="476"/>
      <c r="E477" s="476"/>
      <c r="F477" s="476"/>
      <c r="G477" s="476"/>
      <c r="H477" s="478"/>
      <c r="I477" s="478"/>
      <c r="J477" s="478"/>
      <c r="K477" s="489"/>
      <c r="L477" s="480"/>
      <c r="M477" s="480"/>
      <c r="N477" s="480"/>
      <c r="O477" s="480"/>
      <c r="P477" s="481"/>
      <c r="Q477" s="481"/>
      <c r="R477" s="413"/>
    </row>
    <row r="478" spans="1:18" s="450" customFormat="1" ht="14.1" customHeight="1" outlineLevel="2">
      <c r="A478" s="406"/>
      <c r="B478" s="482" t="s">
        <v>527</v>
      </c>
      <c r="C478" s="476"/>
      <c r="D478" s="476"/>
      <c r="E478" s="476"/>
      <c r="F478" s="476"/>
      <c r="G478" s="476"/>
      <c r="H478" s="478"/>
      <c r="I478" s="478"/>
      <c r="J478" s="478"/>
      <c r="K478" s="489"/>
      <c r="L478" s="480"/>
      <c r="M478" s="480"/>
      <c r="N478" s="480"/>
      <c r="O478" s="480"/>
      <c r="P478" s="481"/>
      <c r="Q478" s="481"/>
      <c r="R478" s="413"/>
    </row>
    <row r="479" spans="1:18" s="450" customFormat="1" ht="14.1" customHeight="1" outlineLevel="2">
      <c r="A479" s="406"/>
      <c r="B479" s="482" t="s">
        <v>528</v>
      </c>
      <c r="C479" s="476"/>
      <c r="D479" s="476"/>
      <c r="E479" s="476"/>
      <c r="F479" s="476"/>
      <c r="G479" s="476"/>
      <c r="H479" s="478"/>
      <c r="I479" s="478"/>
      <c r="J479" s="478"/>
      <c r="K479" s="489"/>
      <c r="L479" s="480"/>
      <c r="M479" s="480"/>
      <c r="N479" s="480"/>
      <c r="O479" s="480"/>
      <c r="P479" s="481"/>
      <c r="Q479" s="481"/>
      <c r="R479" s="413"/>
    </row>
    <row r="480" spans="1:18" s="450" customFormat="1" ht="14.1" customHeight="1" outlineLevel="2">
      <c r="A480" s="406"/>
      <c r="B480" s="482" t="s">
        <v>529</v>
      </c>
      <c r="C480" s="476"/>
      <c r="D480" s="476"/>
      <c r="E480" s="476"/>
      <c r="F480" s="476"/>
      <c r="G480" s="476"/>
      <c r="H480" s="478"/>
      <c r="I480" s="478"/>
      <c r="J480" s="478"/>
      <c r="K480" s="489"/>
      <c r="L480" s="480"/>
      <c r="M480" s="480"/>
      <c r="N480" s="480"/>
      <c r="O480" s="480"/>
      <c r="P480" s="481"/>
      <c r="Q480" s="481"/>
      <c r="R480" s="413"/>
    </row>
    <row r="481" spans="1:18" s="450" customFormat="1" ht="14.1" customHeight="1" outlineLevel="2">
      <c r="A481" s="406"/>
      <c r="B481" s="482" t="s">
        <v>530</v>
      </c>
      <c r="C481" s="476"/>
      <c r="D481" s="476"/>
      <c r="E481" s="476"/>
      <c r="F481" s="476"/>
      <c r="G481" s="476"/>
      <c r="H481" s="478"/>
      <c r="I481" s="478"/>
      <c r="J481" s="478"/>
      <c r="K481" s="489"/>
      <c r="L481" s="480"/>
      <c r="M481" s="480"/>
      <c r="N481" s="480"/>
      <c r="O481" s="480"/>
      <c r="P481" s="481"/>
      <c r="Q481" s="481"/>
      <c r="R481" s="413"/>
    </row>
    <row r="482" spans="1:18" s="450" customFormat="1" ht="14.1" customHeight="1" outlineLevel="2">
      <c r="A482" s="406"/>
      <c r="B482" s="482" t="s">
        <v>531</v>
      </c>
      <c r="C482" s="476"/>
      <c r="D482" s="476"/>
      <c r="E482" s="476"/>
      <c r="F482" s="476"/>
      <c r="G482" s="476"/>
      <c r="H482" s="478"/>
      <c r="I482" s="478"/>
      <c r="J482" s="478"/>
      <c r="K482" s="489"/>
      <c r="L482" s="480"/>
      <c r="M482" s="480"/>
      <c r="N482" s="480"/>
      <c r="O482" s="480"/>
      <c r="P482" s="481"/>
      <c r="Q482" s="481"/>
      <c r="R482" s="413"/>
    </row>
    <row r="483" spans="1:18" s="450" customFormat="1" ht="14.1" customHeight="1" outlineLevel="2">
      <c r="A483" s="406"/>
      <c r="B483" s="482" t="s">
        <v>532</v>
      </c>
      <c r="C483" s="476"/>
      <c r="D483" s="476"/>
      <c r="E483" s="476"/>
      <c r="F483" s="476"/>
      <c r="G483" s="476"/>
      <c r="H483" s="478"/>
      <c r="I483" s="478"/>
      <c r="J483" s="478"/>
      <c r="K483" s="489"/>
      <c r="L483" s="480"/>
      <c r="M483" s="480"/>
      <c r="N483" s="480"/>
      <c r="O483" s="480"/>
      <c r="P483" s="481"/>
      <c r="Q483" s="481"/>
      <c r="R483" s="413"/>
    </row>
    <row r="484" spans="1:18" s="450" customFormat="1" ht="14.1" customHeight="1" outlineLevel="2">
      <c r="A484" s="406"/>
      <c r="B484" s="482" t="s">
        <v>349</v>
      </c>
      <c r="C484" s="476"/>
      <c r="D484" s="476"/>
      <c r="E484" s="476"/>
      <c r="F484" s="476"/>
      <c r="G484" s="476"/>
      <c r="H484" s="478"/>
      <c r="I484" s="478"/>
      <c r="J484" s="478"/>
      <c r="K484" s="490"/>
      <c r="L484" s="480"/>
      <c r="M484" s="480"/>
      <c r="N484" s="480"/>
      <c r="O484" s="480"/>
      <c r="P484" s="481"/>
      <c r="Q484" s="481"/>
      <c r="R484" s="413"/>
    </row>
    <row r="485" spans="1:18" s="450" customFormat="1" ht="14.1" customHeight="1" outlineLevel="2" collapsed="1">
      <c r="A485" s="406"/>
      <c r="B485" s="482" t="s">
        <v>350</v>
      </c>
      <c r="C485" s="476"/>
      <c r="D485" s="476"/>
      <c r="E485" s="476"/>
      <c r="F485" s="476"/>
      <c r="G485" s="476"/>
      <c r="H485" s="478"/>
      <c r="I485" s="478"/>
      <c r="J485" s="478"/>
      <c r="K485" s="477"/>
      <c r="L485" s="480"/>
      <c r="M485" s="480"/>
      <c r="N485" s="480"/>
      <c r="O485" s="480"/>
      <c r="P485" s="481"/>
      <c r="Q485" s="481"/>
      <c r="R485" s="413"/>
    </row>
    <row r="486" spans="1:18" s="450" customFormat="1" ht="14.1" customHeight="1" outlineLevel="2" collapsed="1">
      <c r="A486" s="406"/>
      <c r="B486" s="482" t="s">
        <v>516</v>
      </c>
      <c r="C486" s="476"/>
      <c r="D486" s="476"/>
      <c r="E486" s="476"/>
      <c r="F486" s="476"/>
      <c r="G486" s="476"/>
      <c r="H486" s="478"/>
      <c r="I486" s="478"/>
      <c r="J486" s="478"/>
      <c r="K486" s="483"/>
      <c r="L486" s="480"/>
      <c r="M486" s="480"/>
      <c r="N486" s="480"/>
      <c r="O486" s="480"/>
      <c r="P486" s="481"/>
      <c r="Q486" s="481"/>
      <c r="R486" s="413"/>
    </row>
    <row r="487" spans="1:18" s="450" customFormat="1" ht="14.1" customHeight="1" outlineLevel="2" collapsed="1">
      <c r="A487" s="406"/>
      <c r="B487" s="482" t="s">
        <v>533</v>
      </c>
      <c r="C487" s="476"/>
      <c r="D487" s="476"/>
      <c r="E487" s="476"/>
      <c r="F487" s="476"/>
      <c r="G487" s="476"/>
      <c r="H487" s="478"/>
      <c r="I487" s="478"/>
      <c r="J487" s="478"/>
      <c r="K487" s="479"/>
      <c r="L487" s="480"/>
      <c r="M487" s="480"/>
      <c r="N487" s="480"/>
      <c r="O487" s="480"/>
      <c r="P487" s="481"/>
      <c r="Q487" s="481"/>
      <c r="R487" s="413"/>
    </row>
    <row r="488" spans="1:18" s="450" customFormat="1" ht="14.1" customHeight="1" outlineLevel="2">
      <c r="A488" s="406"/>
      <c r="B488" s="482" t="s">
        <v>534</v>
      </c>
      <c r="C488" s="476"/>
      <c r="D488" s="476"/>
      <c r="E488" s="476"/>
      <c r="F488" s="476"/>
      <c r="G488" s="476"/>
      <c r="H488" s="478"/>
      <c r="I488" s="478"/>
      <c r="J488" s="478"/>
      <c r="K488" s="483"/>
      <c r="L488" s="480"/>
      <c r="M488" s="480"/>
      <c r="N488" s="480"/>
      <c r="O488" s="480"/>
      <c r="P488" s="481"/>
      <c r="Q488" s="481"/>
      <c r="R488" s="413"/>
    </row>
    <row r="489" spans="1:18" s="450" customFormat="1" ht="14.1" customHeight="1" outlineLevel="2">
      <c r="A489" s="406"/>
      <c r="B489" s="491"/>
      <c r="C489" s="476"/>
      <c r="D489" s="476"/>
      <c r="E489" s="476"/>
      <c r="F489" s="476"/>
      <c r="G489" s="476"/>
      <c r="H489" s="478"/>
      <c r="I489" s="478"/>
      <c r="J489" s="478"/>
      <c r="K489" s="486"/>
      <c r="L489" s="480"/>
      <c r="M489" s="480"/>
      <c r="N489" s="480"/>
      <c r="O489" s="480"/>
      <c r="P489" s="481"/>
      <c r="Q489" s="481"/>
      <c r="R489" s="413"/>
    </row>
    <row r="490" spans="1:18" s="450" customFormat="1" ht="14.1" customHeight="1" outlineLevel="1">
      <c r="A490" s="406"/>
      <c r="B490" s="496" t="s">
        <v>535</v>
      </c>
      <c r="C490" s="493"/>
      <c r="D490" s="493"/>
      <c r="E490" s="493"/>
      <c r="F490" s="493"/>
      <c r="G490" s="493"/>
      <c r="H490" s="461"/>
      <c r="I490" s="494">
        <v>-2000000000</v>
      </c>
      <c r="J490" s="494"/>
      <c r="K490" s="461"/>
      <c r="L490" s="494">
        <v>2000000000</v>
      </c>
      <c r="M490" s="456"/>
      <c r="N490" s="456"/>
      <c r="O490" s="456"/>
      <c r="P490" s="457"/>
      <c r="Q490" s="457"/>
      <c r="R490" s="413"/>
    </row>
    <row r="491" spans="1:18" s="450" customFormat="1" ht="14.1" customHeight="1" outlineLevel="2">
      <c r="A491" s="406"/>
      <c r="B491" s="459" t="s">
        <v>536</v>
      </c>
      <c r="C491" s="493"/>
      <c r="D491" s="493"/>
      <c r="E491" s="493"/>
      <c r="F491" s="493"/>
      <c r="G491" s="493"/>
      <c r="H491" s="460"/>
      <c r="I491" s="460"/>
      <c r="J491" s="460"/>
      <c r="K491" s="460"/>
      <c r="L491" s="494"/>
      <c r="M491" s="456"/>
      <c r="N491" s="456"/>
      <c r="O491" s="456"/>
      <c r="P491" s="457"/>
      <c r="Q491" s="457"/>
      <c r="R491" s="413"/>
    </row>
    <row r="492" spans="1:18" s="450" customFormat="1" ht="14.1" customHeight="1" outlineLevel="2">
      <c r="A492" s="406"/>
      <c r="B492" s="459" t="s">
        <v>537</v>
      </c>
      <c r="C492" s="493"/>
      <c r="D492" s="493"/>
      <c r="E492" s="493"/>
      <c r="F492" s="493"/>
      <c r="G492" s="493"/>
      <c r="H492" s="461"/>
      <c r="I492" s="461"/>
      <c r="J492" s="461"/>
      <c r="K492" s="461"/>
      <c r="L492" s="494"/>
      <c r="M492" s="456"/>
      <c r="N492" s="456"/>
      <c r="O492" s="456"/>
      <c r="P492" s="457"/>
      <c r="Q492" s="457"/>
      <c r="R492" s="413"/>
    </row>
    <row r="493" spans="1:18" s="450" customFormat="1" ht="14.1" customHeight="1" outlineLevel="2">
      <c r="A493" s="406"/>
      <c r="B493" s="459" t="s">
        <v>336</v>
      </c>
      <c r="C493" s="493"/>
      <c r="D493" s="493"/>
      <c r="E493" s="493"/>
      <c r="F493" s="493"/>
      <c r="G493" s="493"/>
      <c r="H493" s="462"/>
      <c r="I493" s="462"/>
      <c r="J493" s="462"/>
      <c r="K493" s="462"/>
      <c r="L493" s="497"/>
      <c r="M493" s="456"/>
      <c r="N493" s="456"/>
      <c r="O493" s="456"/>
      <c r="P493" s="457"/>
      <c r="Q493" s="457"/>
      <c r="R493" s="413"/>
    </row>
    <row r="494" spans="1:18" s="450" customFormat="1" ht="14.1" customHeight="1" outlineLevel="2">
      <c r="A494" s="406"/>
      <c r="B494" s="459" t="s">
        <v>538</v>
      </c>
      <c r="C494" s="493"/>
      <c r="D494" s="493"/>
      <c r="E494" s="493"/>
      <c r="F494" s="493"/>
      <c r="G494" s="493"/>
      <c r="H494" s="463"/>
      <c r="I494" s="463"/>
      <c r="J494" s="463"/>
      <c r="K494" s="463"/>
      <c r="L494" s="498"/>
      <c r="M494" s="456"/>
      <c r="N494" s="456"/>
      <c r="O494" s="456"/>
      <c r="P494" s="457"/>
      <c r="Q494" s="457"/>
      <c r="R494" s="413"/>
    </row>
    <row r="495" spans="1:18" s="450" customFormat="1" ht="14.1" customHeight="1" outlineLevel="2">
      <c r="A495" s="406"/>
      <c r="B495" s="459" t="s">
        <v>338</v>
      </c>
      <c r="C495" s="493"/>
      <c r="D495" s="493"/>
      <c r="E495" s="493"/>
      <c r="F495" s="493"/>
      <c r="G495" s="493"/>
      <c r="H495" s="454"/>
      <c r="I495" s="454"/>
      <c r="J495" s="454"/>
      <c r="K495" s="454"/>
      <c r="L495" s="494"/>
      <c r="M495" s="456"/>
      <c r="N495" s="456"/>
      <c r="O495" s="456"/>
      <c r="P495" s="457"/>
      <c r="Q495" s="457"/>
      <c r="R495" s="413"/>
    </row>
    <row r="496" spans="1:18" s="450" customFormat="1" ht="14.1" customHeight="1" outlineLevel="2">
      <c r="A496" s="406"/>
      <c r="B496" s="459" t="s">
        <v>504</v>
      </c>
      <c r="C496" s="493"/>
      <c r="D496" s="493"/>
      <c r="E496" s="493"/>
      <c r="F496" s="493"/>
      <c r="G496" s="493"/>
      <c r="H496" s="218"/>
      <c r="I496" s="218"/>
      <c r="J496" s="218"/>
      <c r="K496" s="218"/>
      <c r="L496" s="494"/>
      <c r="M496" s="456"/>
      <c r="N496" s="456"/>
      <c r="O496" s="456"/>
      <c r="P496" s="457"/>
      <c r="Q496" s="457"/>
      <c r="R496" s="413"/>
    </row>
    <row r="497" spans="1:18" s="450" customFormat="1" ht="14.1" customHeight="1" outlineLevel="2">
      <c r="A497" s="406"/>
      <c r="B497" s="459" t="s">
        <v>488</v>
      </c>
      <c r="C497" s="493"/>
      <c r="D497" s="493"/>
      <c r="E497" s="493"/>
      <c r="F497" s="493"/>
      <c r="G497" s="493"/>
      <c r="H497" s="218"/>
      <c r="I497" s="218"/>
      <c r="J497" s="218"/>
      <c r="K497" s="218"/>
      <c r="L497" s="494"/>
      <c r="M497" s="456"/>
      <c r="N497" s="456"/>
      <c r="O497" s="456"/>
      <c r="P497" s="457"/>
      <c r="Q497" s="457"/>
      <c r="R497" s="413"/>
    </row>
    <row r="498" spans="1:18" s="450" customFormat="1" ht="14.1" customHeight="1" outlineLevel="2">
      <c r="A498" s="406"/>
      <c r="B498" s="459" t="s">
        <v>539</v>
      </c>
      <c r="C498" s="493"/>
      <c r="D498" s="493"/>
      <c r="E498" s="493"/>
      <c r="F498" s="493"/>
      <c r="G498" s="493"/>
      <c r="H498" s="461"/>
      <c r="I498" s="461"/>
      <c r="J498" s="461"/>
      <c r="K498" s="461"/>
      <c r="L498" s="494"/>
      <c r="M498" s="456"/>
      <c r="N498" s="456"/>
      <c r="O498" s="456"/>
      <c r="P498" s="457"/>
      <c r="Q498" s="457"/>
      <c r="R498" s="413"/>
    </row>
    <row r="499" spans="1:18" s="450" customFormat="1" ht="14.1" customHeight="1" outlineLevel="2">
      <c r="A499" s="406"/>
      <c r="B499" s="459" t="s">
        <v>540</v>
      </c>
      <c r="C499" s="493"/>
      <c r="D499" s="493"/>
      <c r="E499" s="493"/>
      <c r="F499" s="493"/>
      <c r="G499" s="493"/>
      <c r="H499" s="473"/>
      <c r="I499" s="473"/>
      <c r="J499" s="473"/>
      <c r="K499" s="473"/>
      <c r="L499" s="499"/>
      <c r="M499" s="456"/>
      <c r="N499" s="456"/>
      <c r="O499" s="456"/>
      <c r="P499" s="457"/>
      <c r="Q499" s="457"/>
      <c r="R499" s="413"/>
    </row>
    <row r="500" spans="1:18" s="450" customFormat="1" ht="14.1" customHeight="1" outlineLevel="2">
      <c r="A500" s="406"/>
      <c r="B500" s="459" t="s">
        <v>541</v>
      </c>
      <c r="C500" s="493"/>
      <c r="D500" s="493"/>
      <c r="E500" s="493"/>
      <c r="F500" s="493"/>
      <c r="G500" s="493"/>
      <c r="H500" s="465"/>
      <c r="I500" s="465"/>
      <c r="J500" s="465"/>
      <c r="K500" s="465"/>
      <c r="L500" s="494"/>
      <c r="M500" s="456"/>
      <c r="N500" s="456"/>
      <c r="O500" s="456"/>
      <c r="P500" s="457"/>
      <c r="Q500" s="457"/>
      <c r="R500" s="413"/>
    </row>
    <row r="501" spans="1:18" s="450" customFormat="1" ht="14.1" customHeight="1" outlineLevel="2">
      <c r="A501" s="406"/>
      <c r="B501" s="459" t="s">
        <v>542</v>
      </c>
      <c r="C501" s="493"/>
      <c r="D501" s="493"/>
      <c r="E501" s="493"/>
      <c r="F501" s="493"/>
      <c r="G501" s="493"/>
      <c r="H501" s="465"/>
      <c r="I501" s="465"/>
      <c r="J501" s="465"/>
      <c r="K501" s="465"/>
      <c r="L501" s="494"/>
      <c r="M501" s="456"/>
      <c r="N501" s="456"/>
      <c r="O501" s="456"/>
      <c r="P501" s="457"/>
      <c r="Q501" s="457"/>
      <c r="R501" s="413"/>
    </row>
    <row r="502" spans="1:18" s="450" customFormat="1" ht="14.1" customHeight="1" outlineLevel="2">
      <c r="A502" s="406"/>
      <c r="B502" s="459" t="s">
        <v>543</v>
      </c>
      <c r="C502" s="493"/>
      <c r="D502" s="493"/>
      <c r="E502" s="493"/>
      <c r="F502" s="493"/>
      <c r="G502" s="493"/>
      <c r="H502" s="465"/>
      <c r="I502" s="465"/>
      <c r="J502" s="465"/>
      <c r="K502" s="465"/>
      <c r="L502" s="494"/>
      <c r="M502" s="456"/>
      <c r="N502" s="456"/>
      <c r="O502" s="456"/>
      <c r="P502" s="457"/>
      <c r="Q502" s="457"/>
      <c r="R502" s="413"/>
    </row>
    <row r="503" spans="1:18" s="450" customFormat="1" ht="14.1" customHeight="1" outlineLevel="2">
      <c r="A503" s="406"/>
      <c r="B503" s="459" t="s">
        <v>544</v>
      </c>
      <c r="C503" s="493"/>
      <c r="D503" s="493"/>
      <c r="E503" s="493"/>
      <c r="F503" s="493"/>
      <c r="G503" s="493"/>
      <c r="H503" s="465"/>
      <c r="I503" s="465"/>
      <c r="J503" s="465"/>
      <c r="K503" s="465"/>
      <c r="L503" s="494"/>
      <c r="M503" s="456"/>
      <c r="N503" s="456"/>
      <c r="O503" s="456"/>
      <c r="P503" s="457"/>
      <c r="Q503" s="457"/>
      <c r="R503" s="413"/>
    </row>
    <row r="504" spans="1:18" s="450" customFormat="1" ht="14.1" customHeight="1" outlineLevel="2">
      <c r="A504" s="406"/>
      <c r="B504" s="459" t="s">
        <v>545</v>
      </c>
      <c r="C504" s="493"/>
      <c r="D504" s="493"/>
      <c r="E504" s="493"/>
      <c r="F504" s="493"/>
      <c r="G504" s="493"/>
      <c r="H504" s="465"/>
      <c r="I504" s="465"/>
      <c r="J504" s="465"/>
      <c r="K504" s="465"/>
      <c r="L504" s="494"/>
      <c r="M504" s="456"/>
      <c r="N504" s="456"/>
      <c r="O504" s="456"/>
      <c r="P504" s="457"/>
      <c r="Q504" s="457"/>
      <c r="R504" s="413"/>
    </row>
    <row r="505" spans="1:18" s="450" customFormat="1" ht="14.1" customHeight="1" outlineLevel="2">
      <c r="A505" s="406"/>
      <c r="B505" s="459" t="s">
        <v>546</v>
      </c>
      <c r="C505" s="493"/>
      <c r="D505" s="493"/>
      <c r="E505" s="493"/>
      <c r="F505" s="493"/>
      <c r="G505" s="493"/>
      <c r="H505" s="465"/>
      <c r="I505" s="465"/>
      <c r="J505" s="465"/>
      <c r="K505" s="465"/>
      <c r="L505" s="494"/>
      <c r="M505" s="456"/>
      <c r="N505" s="456"/>
      <c r="O505" s="456"/>
      <c r="P505" s="457"/>
      <c r="Q505" s="457"/>
      <c r="R505" s="413"/>
    </row>
    <row r="506" spans="1:18" s="450" customFormat="1" ht="14.1" customHeight="1" outlineLevel="2">
      <c r="A506" s="406"/>
      <c r="B506" s="459" t="s">
        <v>547</v>
      </c>
      <c r="C506" s="493"/>
      <c r="D506" s="493"/>
      <c r="E506" s="493"/>
      <c r="F506" s="493"/>
      <c r="G506" s="493"/>
      <c r="H506" s="465"/>
      <c r="I506" s="465"/>
      <c r="J506" s="465"/>
      <c r="K506" s="465"/>
      <c r="L506" s="494"/>
      <c r="M506" s="456"/>
      <c r="N506" s="456"/>
      <c r="O506" s="456"/>
      <c r="P506" s="457"/>
      <c r="Q506" s="457"/>
      <c r="R506" s="413"/>
    </row>
    <row r="507" spans="1:18" s="450" customFormat="1" ht="14.1" customHeight="1" outlineLevel="2">
      <c r="A507" s="406"/>
      <c r="B507" s="459" t="s">
        <v>548</v>
      </c>
      <c r="C507" s="493"/>
      <c r="D507" s="493"/>
      <c r="E507" s="493"/>
      <c r="F507" s="493"/>
      <c r="G507" s="493"/>
      <c r="H507" s="465"/>
      <c r="I507" s="465"/>
      <c r="J507" s="465"/>
      <c r="K507" s="465"/>
      <c r="L507" s="494"/>
      <c r="M507" s="456"/>
      <c r="N507" s="456"/>
      <c r="O507" s="456"/>
      <c r="P507" s="457"/>
      <c r="Q507" s="457"/>
      <c r="R507" s="413"/>
    </row>
    <row r="508" spans="1:18" s="450" customFormat="1" ht="14.1" customHeight="1" outlineLevel="2">
      <c r="A508" s="406"/>
      <c r="B508" s="459" t="s">
        <v>549</v>
      </c>
      <c r="C508" s="493"/>
      <c r="D508" s="493"/>
      <c r="E508" s="493"/>
      <c r="F508" s="493"/>
      <c r="G508" s="493"/>
      <c r="H508" s="465"/>
      <c r="I508" s="465"/>
      <c r="J508" s="465"/>
      <c r="K508" s="465"/>
      <c r="L508" s="494"/>
      <c r="M508" s="456"/>
      <c r="N508" s="456"/>
      <c r="O508" s="456"/>
      <c r="P508" s="457"/>
      <c r="Q508" s="457"/>
      <c r="R508" s="413"/>
    </row>
    <row r="509" spans="1:18" s="450" customFormat="1" ht="14.1" customHeight="1" outlineLevel="2">
      <c r="A509" s="406"/>
      <c r="B509" s="459" t="s">
        <v>349</v>
      </c>
      <c r="C509" s="493"/>
      <c r="D509" s="493"/>
      <c r="E509" s="493"/>
      <c r="F509" s="493"/>
      <c r="G509" s="493"/>
      <c r="H509" s="466"/>
      <c r="I509" s="466"/>
      <c r="J509" s="466"/>
      <c r="K509" s="466"/>
      <c r="L509" s="494"/>
      <c r="M509" s="456"/>
      <c r="N509" s="456"/>
      <c r="O509" s="456"/>
      <c r="P509" s="457"/>
      <c r="Q509" s="457"/>
      <c r="R509" s="413"/>
    </row>
    <row r="510" spans="1:18" s="450" customFormat="1" ht="14.1" customHeight="1" outlineLevel="2" collapsed="1">
      <c r="A510" s="406"/>
      <c r="B510" s="459" t="s">
        <v>350</v>
      </c>
      <c r="C510" s="493"/>
      <c r="D510" s="493"/>
      <c r="E510" s="493"/>
      <c r="F510" s="493"/>
      <c r="G510" s="493"/>
      <c r="H510" s="454"/>
      <c r="I510" s="454"/>
      <c r="J510" s="454"/>
      <c r="K510" s="454"/>
      <c r="L510" s="494"/>
      <c r="M510" s="456"/>
      <c r="N510" s="456"/>
      <c r="O510" s="456"/>
      <c r="P510" s="457"/>
      <c r="Q510" s="457"/>
      <c r="R510" s="413"/>
    </row>
    <row r="511" spans="1:18" s="450" customFormat="1" ht="14.1" customHeight="1" outlineLevel="2" collapsed="1">
      <c r="A511" s="406"/>
      <c r="B511" s="459" t="s">
        <v>351</v>
      </c>
      <c r="C511" s="493"/>
      <c r="D511" s="493"/>
      <c r="E511" s="493"/>
      <c r="F511" s="493"/>
      <c r="G511" s="493"/>
      <c r="H511" s="454"/>
      <c r="I511" s="454"/>
      <c r="J511" s="454"/>
      <c r="K511" s="454"/>
      <c r="L511" s="494"/>
      <c r="M511" s="456"/>
      <c r="N511" s="456"/>
      <c r="O511" s="456"/>
      <c r="P511" s="457"/>
      <c r="Q511" s="457"/>
      <c r="R511" s="413"/>
    </row>
    <row r="512" spans="1:18" s="450" customFormat="1" ht="14.1" customHeight="1" outlineLevel="2" collapsed="1">
      <c r="A512" s="406"/>
      <c r="B512" s="459" t="s">
        <v>550</v>
      </c>
      <c r="C512" s="493"/>
      <c r="D512" s="493"/>
      <c r="E512" s="493"/>
      <c r="F512" s="493"/>
      <c r="G512" s="493"/>
      <c r="H512" s="454"/>
      <c r="I512" s="454"/>
      <c r="J512" s="454"/>
      <c r="K512" s="454"/>
      <c r="L512" s="494"/>
      <c r="M512" s="456"/>
      <c r="N512" s="456"/>
      <c r="O512" s="456"/>
      <c r="P512" s="457"/>
      <c r="Q512" s="457"/>
      <c r="R512" s="413"/>
    </row>
    <row r="513" spans="1:18" s="450" customFormat="1" ht="14.1" customHeight="1" outlineLevel="2">
      <c r="A513" s="406"/>
      <c r="B513" s="459" t="s">
        <v>551</v>
      </c>
      <c r="C513" s="493"/>
      <c r="D513" s="493"/>
      <c r="E513" s="493"/>
      <c r="F513" s="493"/>
      <c r="G513" s="493"/>
      <c r="H513" s="454"/>
      <c r="I513" s="454"/>
      <c r="J513" s="454"/>
      <c r="K513" s="454"/>
      <c r="L513" s="494"/>
      <c r="M513" s="456"/>
      <c r="N513" s="456"/>
      <c r="O513" s="456"/>
      <c r="P513" s="457"/>
      <c r="Q513" s="457"/>
      <c r="R513" s="413"/>
    </row>
    <row r="514" spans="1:18" s="290" customFormat="1" ht="14.1" customHeight="1" outlineLevel="2">
      <c r="A514" s="406"/>
      <c r="B514" s="459"/>
      <c r="C514" s="500"/>
      <c r="D514" s="500"/>
      <c r="E514" s="500"/>
      <c r="F514" s="500"/>
      <c r="G514" s="500"/>
      <c r="H514" s="494"/>
      <c r="I514" s="494"/>
      <c r="J514" s="494"/>
      <c r="K514" s="494"/>
      <c r="L514" s="494"/>
      <c r="M514" s="501"/>
      <c r="N514" s="501"/>
      <c r="O514" s="501"/>
      <c r="P514" s="501"/>
      <c r="Q514" s="501"/>
      <c r="R514" s="413"/>
    </row>
    <row r="515" spans="1:18" s="450" customFormat="1" ht="14.1" customHeight="1" outlineLevel="1">
      <c r="A515" s="406"/>
      <c r="B515" s="496" t="s">
        <v>552</v>
      </c>
      <c r="C515" s="493"/>
      <c r="D515" s="493"/>
      <c r="E515" s="493"/>
      <c r="F515" s="493"/>
      <c r="G515" s="493"/>
      <c r="H515" s="461"/>
      <c r="I515" s="494">
        <v>-1500000000</v>
      </c>
      <c r="J515" s="494"/>
      <c r="K515" s="461"/>
      <c r="L515" s="494">
        <v>1500000000</v>
      </c>
      <c r="M515" s="456"/>
      <c r="N515" s="456"/>
      <c r="O515" s="456"/>
      <c r="P515" s="457"/>
      <c r="Q515" s="457"/>
      <c r="R515" s="413"/>
    </row>
    <row r="516" spans="1:18" s="450" customFormat="1" ht="14.1" customHeight="1" outlineLevel="2">
      <c r="A516" s="406"/>
      <c r="B516" s="459" t="s">
        <v>553</v>
      </c>
      <c r="C516" s="493"/>
      <c r="D516" s="493"/>
      <c r="E516" s="493"/>
      <c r="F516" s="493"/>
      <c r="G516" s="493"/>
      <c r="H516" s="460"/>
      <c r="I516" s="460"/>
      <c r="J516" s="460"/>
      <c r="K516" s="460"/>
      <c r="L516" s="494"/>
      <c r="M516" s="456"/>
      <c r="N516" s="456"/>
      <c r="O516" s="456"/>
      <c r="P516" s="457"/>
      <c r="Q516" s="457"/>
      <c r="R516" s="413"/>
    </row>
    <row r="517" spans="1:18" s="450" customFormat="1" ht="14.1" customHeight="1" outlineLevel="2">
      <c r="A517" s="406"/>
      <c r="B517" s="459" t="s">
        <v>537</v>
      </c>
      <c r="C517" s="493"/>
      <c r="D517" s="493"/>
      <c r="E517" s="493"/>
      <c r="F517" s="493"/>
      <c r="G517" s="493"/>
      <c r="H517" s="461"/>
      <c r="I517" s="461"/>
      <c r="J517" s="461"/>
      <c r="K517" s="461"/>
      <c r="L517" s="494"/>
      <c r="M517" s="456"/>
      <c r="N517" s="456"/>
      <c r="O517" s="456"/>
      <c r="P517" s="457"/>
      <c r="Q517" s="457"/>
      <c r="R517" s="413"/>
    </row>
    <row r="518" spans="1:18" s="450" customFormat="1" ht="14.1" customHeight="1" outlineLevel="2">
      <c r="A518" s="406"/>
      <c r="B518" s="459" t="s">
        <v>336</v>
      </c>
      <c r="C518" s="493"/>
      <c r="D518" s="493"/>
      <c r="E518" s="493"/>
      <c r="F518" s="493"/>
      <c r="G518" s="493"/>
      <c r="H518" s="462"/>
      <c r="I518" s="462"/>
      <c r="J518" s="462"/>
      <c r="K518" s="462"/>
      <c r="L518" s="494"/>
      <c r="M518" s="456"/>
      <c r="N518" s="456"/>
      <c r="O518" s="456"/>
      <c r="P518" s="457"/>
      <c r="Q518" s="457"/>
      <c r="R518" s="413"/>
    </row>
    <row r="519" spans="1:18" s="450" customFormat="1" ht="14.1" customHeight="1" outlineLevel="2">
      <c r="A519" s="406"/>
      <c r="B519" s="459" t="s">
        <v>538</v>
      </c>
      <c r="C519" s="493"/>
      <c r="D519" s="493"/>
      <c r="E519" s="493"/>
      <c r="F519" s="493"/>
      <c r="G519" s="493"/>
      <c r="H519" s="463"/>
      <c r="I519" s="463"/>
      <c r="J519" s="463"/>
      <c r="K519" s="463"/>
      <c r="L519" s="498"/>
      <c r="M519" s="456"/>
      <c r="N519" s="456"/>
      <c r="O519" s="456"/>
      <c r="P519" s="457"/>
      <c r="Q519" s="457"/>
      <c r="R519" s="413"/>
    </row>
    <row r="520" spans="1:18" s="450" customFormat="1" ht="14.1" customHeight="1" outlineLevel="2">
      <c r="A520" s="406"/>
      <c r="B520" s="459" t="s">
        <v>338</v>
      </c>
      <c r="C520" s="493"/>
      <c r="D520" s="493"/>
      <c r="E520" s="493"/>
      <c r="F520" s="493"/>
      <c r="G520" s="493"/>
      <c r="H520" s="454"/>
      <c r="I520" s="454"/>
      <c r="J520" s="454"/>
      <c r="K520" s="454"/>
      <c r="L520" s="494"/>
      <c r="M520" s="456"/>
      <c r="N520" s="456"/>
      <c r="O520" s="456"/>
      <c r="P520" s="457"/>
      <c r="Q520" s="457"/>
      <c r="R520" s="413"/>
    </row>
    <row r="521" spans="1:18" s="450" customFormat="1" ht="14.1" customHeight="1" outlineLevel="2">
      <c r="A521" s="406"/>
      <c r="B521" s="459" t="s">
        <v>421</v>
      </c>
      <c r="C521" s="493"/>
      <c r="D521" s="493"/>
      <c r="E521" s="493"/>
      <c r="F521" s="493"/>
      <c r="G521" s="493"/>
      <c r="H521" s="218"/>
      <c r="I521" s="218"/>
      <c r="J521" s="218"/>
      <c r="K521" s="218"/>
      <c r="L521" s="494"/>
      <c r="M521" s="456"/>
      <c r="N521" s="456"/>
      <c r="O521" s="456"/>
      <c r="P521" s="457"/>
      <c r="Q521" s="457"/>
      <c r="R521" s="413"/>
    </row>
    <row r="522" spans="1:18" s="450" customFormat="1" ht="14.1" customHeight="1" outlineLevel="2">
      <c r="A522" s="406"/>
      <c r="B522" s="459" t="s">
        <v>422</v>
      </c>
      <c r="C522" s="493"/>
      <c r="D522" s="493"/>
      <c r="E522" s="493"/>
      <c r="F522" s="493"/>
      <c r="G522" s="493"/>
      <c r="H522" s="218"/>
      <c r="I522" s="218"/>
      <c r="J522" s="218"/>
      <c r="K522" s="218"/>
      <c r="L522" s="494"/>
      <c r="M522" s="456"/>
      <c r="N522" s="456"/>
      <c r="O522" s="456"/>
      <c r="P522" s="457"/>
      <c r="Q522" s="457"/>
      <c r="R522" s="413"/>
    </row>
    <row r="523" spans="1:18" s="450" customFormat="1" ht="14.1" customHeight="1" outlineLevel="2">
      <c r="A523" s="406"/>
      <c r="B523" s="459" t="s">
        <v>554</v>
      </c>
      <c r="C523" s="493"/>
      <c r="D523" s="493"/>
      <c r="E523" s="493"/>
      <c r="F523" s="493"/>
      <c r="G523" s="493"/>
      <c r="H523" s="461"/>
      <c r="I523" s="461"/>
      <c r="J523" s="461"/>
      <c r="K523" s="461"/>
      <c r="L523" s="494"/>
      <c r="M523" s="456"/>
      <c r="N523" s="456"/>
      <c r="O523" s="456"/>
      <c r="P523" s="457"/>
      <c r="Q523" s="457"/>
      <c r="R523" s="413"/>
    </row>
    <row r="524" spans="1:18" s="450" customFormat="1" ht="14.1" customHeight="1" outlineLevel="2">
      <c r="A524" s="406"/>
      <c r="B524" s="459" t="s">
        <v>540</v>
      </c>
      <c r="C524" s="493"/>
      <c r="D524" s="493"/>
      <c r="E524" s="493"/>
      <c r="F524" s="493"/>
      <c r="G524" s="493"/>
      <c r="H524" s="473"/>
      <c r="I524" s="473"/>
      <c r="J524" s="473"/>
      <c r="K524" s="473"/>
      <c r="L524" s="499"/>
      <c r="M524" s="456"/>
      <c r="N524" s="456"/>
      <c r="O524" s="456"/>
      <c r="P524" s="457"/>
      <c r="Q524" s="457"/>
      <c r="R524" s="413"/>
    </row>
    <row r="525" spans="1:18" s="450" customFormat="1" ht="14.1" customHeight="1" outlineLevel="2">
      <c r="A525" s="406"/>
      <c r="B525" s="459" t="s">
        <v>555</v>
      </c>
      <c r="C525" s="493"/>
      <c r="D525" s="493"/>
      <c r="E525" s="493"/>
      <c r="F525" s="493"/>
      <c r="G525" s="493"/>
      <c r="H525" s="465"/>
      <c r="I525" s="465"/>
      <c r="J525" s="465"/>
      <c r="K525" s="465"/>
      <c r="L525" s="494"/>
      <c r="M525" s="456"/>
      <c r="N525" s="456"/>
      <c r="O525" s="456"/>
      <c r="P525" s="457"/>
      <c r="Q525" s="457"/>
      <c r="R525" s="413"/>
    </row>
    <row r="526" spans="1:18" s="450" customFormat="1" ht="14.1" customHeight="1" outlineLevel="2">
      <c r="A526" s="406"/>
      <c r="B526" s="459" t="s">
        <v>542</v>
      </c>
      <c r="C526" s="493"/>
      <c r="D526" s="493"/>
      <c r="E526" s="493"/>
      <c r="F526" s="493"/>
      <c r="G526" s="493"/>
      <c r="H526" s="465"/>
      <c r="I526" s="465"/>
      <c r="J526" s="465"/>
      <c r="K526" s="465"/>
      <c r="L526" s="494"/>
      <c r="M526" s="456"/>
      <c r="N526" s="456"/>
      <c r="O526" s="456"/>
      <c r="P526" s="457"/>
      <c r="Q526" s="457"/>
      <c r="R526" s="413"/>
    </row>
    <row r="527" spans="1:18" s="450" customFormat="1" ht="14.1" customHeight="1" outlineLevel="2">
      <c r="A527" s="406"/>
      <c r="B527" s="459" t="s">
        <v>543</v>
      </c>
      <c r="C527" s="493"/>
      <c r="D527" s="493"/>
      <c r="E527" s="493"/>
      <c r="F527" s="493"/>
      <c r="G527" s="493"/>
      <c r="H527" s="465"/>
      <c r="I527" s="465"/>
      <c r="J527" s="465"/>
      <c r="K527" s="465"/>
      <c r="L527" s="494"/>
      <c r="M527" s="456"/>
      <c r="N527" s="456"/>
      <c r="O527" s="456"/>
      <c r="P527" s="457"/>
      <c r="Q527" s="457"/>
      <c r="R527" s="413"/>
    </row>
    <row r="528" spans="1:18" s="450" customFormat="1" ht="14.1" customHeight="1" outlineLevel="2">
      <c r="A528" s="406"/>
      <c r="B528" s="459" t="s">
        <v>544</v>
      </c>
      <c r="C528" s="493"/>
      <c r="D528" s="493"/>
      <c r="E528" s="493"/>
      <c r="F528" s="493"/>
      <c r="G528" s="493"/>
      <c r="H528" s="465"/>
      <c r="I528" s="465"/>
      <c r="J528" s="465"/>
      <c r="K528" s="465"/>
      <c r="L528" s="494"/>
      <c r="M528" s="456"/>
      <c r="N528" s="456"/>
      <c r="O528" s="456"/>
      <c r="P528" s="457"/>
      <c r="Q528" s="457"/>
      <c r="R528" s="413"/>
    </row>
    <row r="529" spans="1:18" s="450" customFormat="1" ht="14.1" customHeight="1" outlineLevel="2">
      <c r="A529" s="406"/>
      <c r="B529" s="459" t="s">
        <v>545</v>
      </c>
      <c r="C529" s="493"/>
      <c r="D529" s="493"/>
      <c r="E529" s="493"/>
      <c r="F529" s="493"/>
      <c r="G529" s="493"/>
      <c r="H529" s="465"/>
      <c r="I529" s="465"/>
      <c r="J529" s="465"/>
      <c r="K529" s="465"/>
      <c r="L529" s="494"/>
      <c r="M529" s="456"/>
      <c r="N529" s="456"/>
      <c r="O529" s="456"/>
      <c r="P529" s="457"/>
      <c r="Q529" s="457"/>
      <c r="R529" s="413"/>
    </row>
    <row r="530" spans="1:18" s="450" customFormat="1" ht="14.1" customHeight="1" outlineLevel="2">
      <c r="A530" s="406"/>
      <c r="B530" s="459" t="s">
        <v>546</v>
      </c>
      <c r="C530" s="493"/>
      <c r="D530" s="493"/>
      <c r="E530" s="493"/>
      <c r="F530" s="493"/>
      <c r="G530" s="493"/>
      <c r="H530" s="465"/>
      <c r="I530" s="465"/>
      <c r="J530" s="465"/>
      <c r="K530" s="465"/>
      <c r="L530" s="494"/>
      <c r="M530" s="456"/>
      <c r="N530" s="456"/>
      <c r="O530" s="456"/>
      <c r="P530" s="457"/>
      <c r="Q530" s="457"/>
      <c r="R530" s="413"/>
    </row>
    <row r="531" spans="1:18" s="450" customFormat="1" ht="14.1" customHeight="1" outlineLevel="2">
      <c r="A531" s="406"/>
      <c r="B531" s="459" t="s">
        <v>547</v>
      </c>
      <c r="C531" s="493"/>
      <c r="D531" s="493"/>
      <c r="E531" s="493"/>
      <c r="F531" s="493"/>
      <c r="G531" s="493"/>
      <c r="H531" s="465"/>
      <c r="I531" s="465"/>
      <c r="J531" s="465"/>
      <c r="K531" s="465"/>
      <c r="L531" s="494"/>
      <c r="M531" s="456"/>
      <c r="N531" s="456"/>
      <c r="O531" s="456"/>
      <c r="P531" s="457"/>
      <c r="Q531" s="457"/>
      <c r="R531" s="413"/>
    </row>
    <row r="532" spans="1:18" s="450" customFormat="1" ht="14.1" customHeight="1" outlineLevel="2">
      <c r="A532" s="406"/>
      <c r="B532" s="459" t="s">
        <v>548</v>
      </c>
      <c r="C532" s="493"/>
      <c r="D532" s="493"/>
      <c r="E532" s="493"/>
      <c r="F532" s="493"/>
      <c r="G532" s="493"/>
      <c r="H532" s="465"/>
      <c r="I532" s="465"/>
      <c r="J532" s="465"/>
      <c r="K532" s="465"/>
      <c r="L532" s="494"/>
      <c r="M532" s="456"/>
      <c r="N532" s="456"/>
      <c r="O532" s="456"/>
      <c r="P532" s="457"/>
      <c r="Q532" s="457"/>
      <c r="R532" s="413"/>
    </row>
    <row r="533" spans="1:18" s="450" customFormat="1" ht="14.1" customHeight="1" outlineLevel="2">
      <c r="A533" s="406"/>
      <c r="B533" s="459" t="s">
        <v>549</v>
      </c>
      <c r="C533" s="493"/>
      <c r="D533" s="493"/>
      <c r="E533" s="493"/>
      <c r="F533" s="493"/>
      <c r="G533" s="493"/>
      <c r="H533" s="465"/>
      <c r="I533" s="465"/>
      <c r="J533" s="465"/>
      <c r="K533" s="465"/>
      <c r="L533" s="494"/>
      <c r="M533" s="456"/>
      <c r="N533" s="456"/>
      <c r="O533" s="456"/>
      <c r="P533" s="457"/>
      <c r="Q533" s="457"/>
      <c r="R533" s="413"/>
    </row>
    <row r="534" spans="1:18" s="450" customFormat="1" ht="14.1" customHeight="1" outlineLevel="2">
      <c r="A534" s="406"/>
      <c r="B534" s="459" t="s">
        <v>349</v>
      </c>
      <c r="C534" s="493"/>
      <c r="D534" s="493"/>
      <c r="E534" s="493"/>
      <c r="F534" s="493"/>
      <c r="G534" s="493"/>
      <c r="H534" s="466"/>
      <c r="I534" s="466"/>
      <c r="J534" s="466"/>
      <c r="K534" s="466"/>
      <c r="L534" s="494"/>
      <c r="M534" s="456"/>
      <c r="N534" s="456"/>
      <c r="O534" s="456"/>
      <c r="P534" s="457"/>
      <c r="Q534" s="457"/>
      <c r="R534" s="413"/>
    </row>
    <row r="535" spans="1:18" s="450" customFormat="1" ht="14.1" customHeight="1" outlineLevel="2" collapsed="1">
      <c r="A535" s="406"/>
      <c r="B535" s="459" t="s">
        <v>350</v>
      </c>
      <c r="C535" s="493"/>
      <c r="D535" s="493"/>
      <c r="E535" s="493"/>
      <c r="F535" s="493"/>
      <c r="G535" s="493"/>
      <c r="H535" s="454"/>
      <c r="I535" s="454"/>
      <c r="J535" s="454"/>
      <c r="K535" s="454"/>
      <c r="L535" s="494"/>
      <c r="M535" s="456"/>
      <c r="N535" s="456"/>
      <c r="O535" s="456"/>
      <c r="P535" s="457"/>
      <c r="Q535" s="457"/>
      <c r="R535" s="413"/>
    </row>
    <row r="536" spans="1:18" s="450" customFormat="1" ht="14.1" customHeight="1" outlineLevel="2" collapsed="1">
      <c r="A536" s="406"/>
      <c r="B536" s="459" t="s">
        <v>351</v>
      </c>
      <c r="C536" s="493"/>
      <c r="D536" s="493"/>
      <c r="E536" s="493"/>
      <c r="F536" s="493"/>
      <c r="G536" s="493"/>
      <c r="H536" s="454"/>
      <c r="I536" s="454"/>
      <c r="J536" s="454"/>
      <c r="K536" s="454"/>
      <c r="L536" s="494"/>
      <c r="M536" s="456"/>
      <c r="N536" s="456"/>
      <c r="O536" s="456"/>
      <c r="P536" s="457"/>
      <c r="Q536" s="457"/>
      <c r="R536" s="413"/>
    </row>
    <row r="537" spans="1:18" s="450" customFormat="1" ht="14.1" customHeight="1" outlineLevel="2" collapsed="1">
      <c r="A537" s="406"/>
      <c r="B537" s="459" t="s">
        <v>556</v>
      </c>
      <c r="C537" s="493"/>
      <c r="D537" s="493"/>
      <c r="E537" s="493"/>
      <c r="F537" s="493"/>
      <c r="G537" s="493"/>
      <c r="H537" s="454"/>
      <c r="I537" s="454"/>
      <c r="J537" s="454"/>
      <c r="K537" s="454"/>
      <c r="L537" s="494"/>
      <c r="M537" s="456"/>
      <c r="N537" s="456"/>
      <c r="O537" s="456"/>
      <c r="P537" s="457"/>
      <c r="Q537" s="457"/>
      <c r="R537" s="413"/>
    </row>
    <row r="538" spans="1:18" s="450" customFormat="1" ht="14.1" customHeight="1" outlineLevel="2">
      <c r="A538" s="406"/>
      <c r="B538" s="459" t="s">
        <v>557</v>
      </c>
      <c r="C538" s="493"/>
      <c r="D538" s="493"/>
      <c r="E538" s="493"/>
      <c r="F538" s="493"/>
      <c r="G538" s="493"/>
      <c r="H538" s="454"/>
      <c r="I538" s="454"/>
      <c r="J538" s="454"/>
      <c r="K538" s="454"/>
      <c r="L538" s="494"/>
      <c r="M538" s="456"/>
      <c r="N538" s="456"/>
      <c r="O538" s="456"/>
      <c r="P538" s="457"/>
      <c r="Q538" s="457"/>
      <c r="R538" s="413"/>
    </row>
    <row r="539" spans="1:18" s="450" customFormat="1" ht="14.1" customHeight="1" outlineLevel="2" collapsed="1">
      <c r="A539" s="406"/>
      <c r="B539" s="459"/>
      <c r="C539" s="493"/>
      <c r="D539" s="493"/>
      <c r="E539" s="493"/>
      <c r="F539" s="493"/>
      <c r="G539" s="493"/>
      <c r="H539" s="455"/>
      <c r="I539" s="455"/>
      <c r="J539" s="455"/>
      <c r="K539" s="455"/>
      <c r="L539" s="494"/>
      <c r="M539" s="455"/>
      <c r="N539" s="455"/>
      <c r="O539" s="455"/>
      <c r="P539" s="454"/>
      <c r="Q539" s="454"/>
      <c r="R539" s="413"/>
    </row>
    <row r="540" spans="1:18" s="450" customFormat="1" ht="14.1" customHeight="1" outlineLevel="1">
      <c r="A540" s="406"/>
      <c r="B540" s="496" t="s">
        <v>558</v>
      </c>
      <c r="C540" s="493"/>
      <c r="D540" s="493"/>
      <c r="E540" s="493"/>
      <c r="F540" s="493"/>
      <c r="G540" s="493"/>
      <c r="H540" s="461"/>
      <c r="I540" s="494">
        <v>-1000000000</v>
      </c>
      <c r="J540" s="494"/>
      <c r="K540" s="461"/>
      <c r="L540" s="494">
        <v>1000000000</v>
      </c>
      <c r="M540" s="456"/>
      <c r="N540" s="456"/>
      <c r="O540" s="456"/>
      <c r="P540" s="457"/>
      <c r="Q540" s="457"/>
      <c r="R540" s="413"/>
    </row>
    <row r="541" spans="1:18" s="450" customFormat="1" ht="14.1" customHeight="1" outlineLevel="2">
      <c r="A541" s="406"/>
      <c r="B541" s="459" t="s">
        <v>559</v>
      </c>
      <c r="C541" s="493"/>
      <c r="D541" s="493"/>
      <c r="E541" s="493"/>
      <c r="F541" s="493"/>
      <c r="G541" s="493"/>
      <c r="H541" s="460"/>
      <c r="I541" s="460"/>
      <c r="J541" s="460"/>
      <c r="K541" s="460"/>
      <c r="L541" s="500"/>
      <c r="M541" s="456"/>
      <c r="N541" s="456"/>
      <c r="O541" s="456"/>
      <c r="P541" s="457"/>
      <c r="Q541" s="457"/>
      <c r="R541" s="413"/>
    </row>
    <row r="542" spans="1:18" s="450" customFormat="1" ht="14.1" customHeight="1" outlineLevel="2">
      <c r="A542" s="406"/>
      <c r="B542" s="459" t="s">
        <v>560</v>
      </c>
      <c r="C542" s="493"/>
      <c r="D542" s="493"/>
      <c r="E542" s="493"/>
      <c r="F542" s="493"/>
      <c r="G542" s="493"/>
      <c r="H542" s="460"/>
      <c r="I542" s="461"/>
      <c r="J542" s="461"/>
      <c r="K542" s="461"/>
      <c r="L542" s="502"/>
      <c r="M542" s="456"/>
      <c r="N542" s="456"/>
      <c r="O542" s="456"/>
      <c r="P542" s="457"/>
      <c r="Q542" s="457"/>
      <c r="R542" s="413"/>
    </row>
    <row r="543" spans="1:18" s="450" customFormat="1" ht="14.1" customHeight="1" outlineLevel="2">
      <c r="A543" s="406"/>
      <c r="B543" s="459" t="s">
        <v>336</v>
      </c>
      <c r="C543" s="493"/>
      <c r="D543" s="493"/>
      <c r="E543" s="493"/>
      <c r="F543" s="493"/>
      <c r="G543" s="493"/>
      <c r="H543" s="460"/>
      <c r="I543" s="462"/>
      <c r="J543" s="462"/>
      <c r="K543" s="462"/>
      <c r="L543" s="503"/>
      <c r="M543" s="456"/>
      <c r="N543" s="456"/>
      <c r="O543" s="456"/>
      <c r="P543" s="457"/>
      <c r="Q543" s="457"/>
      <c r="R543" s="413"/>
    </row>
    <row r="544" spans="1:18" s="450" customFormat="1" ht="14.1" customHeight="1" outlineLevel="2">
      <c r="A544" s="406"/>
      <c r="B544" s="459" t="s">
        <v>538</v>
      </c>
      <c r="C544" s="493"/>
      <c r="D544" s="493"/>
      <c r="E544" s="493"/>
      <c r="F544" s="493"/>
      <c r="G544" s="493"/>
      <c r="H544" s="460"/>
      <c r="I544" s="463"/>
      <c r="J544" s="463"/>
      <c r="K544" s="463"/>
      <c r="L544" s="504"/>
      <c r="M544" s="456"/>
      <c r="N544" s="456"/>
      <c r="O544" s="456"/>
      <c r="P544" s="457"/>
      <c r="Q544" s="457"/>
      <c r="R544" s="413"/>
    </row>
    <row r="545" spans="1:18" s="450" customFormat="1" ht="14.1" customHeight="1" outlineLevel="2">
      <c r="A545" s="406"/>
      <c r="B545" s="459" t="s">
        <v>338</v>
      </c>
      <c r="C545" s="493"/>
      <c r="D545" s="493"/>
      <c r="E545" s="493"/>
      <c r="F545" s="493"/>
      <c r="G545" s="493"/>
      <c r="H545" s="460"/>
      <c r="I545" s="454"/>
      <c r="J545" s="454"/>
      <c r="K545" s="454"/>
      <c r="L545" s="457"/>
      <c r="M545" s="456"/>
      <c r="N545" s="456"/>
      <c r="O545" s="456"/>
      <c r="P545" s="457"/>
      <c r="Q545" s="457"/>
      <c r="R545" s="413"/>
    </row>
    <row r="546" spans="1:18" s="450" customFormat="1" ht="14.1" customHeight="1" outlineLevel="2">
      <c r="A546" s="406"/>
      <c r="B546" s="459" t="s">
        <v>421</v>
      </c>
      <c r="C546" s="493"/>
      <c r="D546" s="493"/>
      <c r="E546" s="493"/>
      <c r="F546" s="493"/>
      <c r="G546" s="493"/>
      <c r="H546" s="460"/>
      <c r="I546" s="218"/>
      <c r="J546" s="218"/>
      <c r="K546" s="218"/>
      <c r="L546" s="505"/>
      <c r="M546" s="456"/>
      <c r="N546" s="456"/>
      <c r="O546" s="456"/>
      <c r="P546" s="457"/>
      <c r="Q546" s="457"/>
      <c r="R546" s="413"/>
    </row>
    <row r="547" spans="1:18" s="450" customFormat="1" ht="14.1" customHeight="1" outlineLevel="2">
      <c r="A547" s="406"/>
      <c r="B547" s="459" t="s">
        <v>422</v>
      </c>
      <c r="C547" s="493"/>
      <c r="D547" s="493"/>
      <c r="E547" s="493"/>
      <c r="F547" s="493"/>
      <c r="G547" s="493"/>
      <c r="H547" s="460"/>
      <c r="I547" s="218"/>
      <c r="J547" s="218"/>
      <c r="K547" s="218"/>
      <c r="L547" s="505"/>
      <c r="M547" s="456"/>
      <c r="N547" s="456"/>
      <c r="O547" s="456"/>
      <c r="P547" s="457"/>
      <c r="Q547" s="457"/>
      <c r="R547" s="413"/>
    </row>
    <row r="548" spans="1:18" s="450" customFormat="1" ht="14.1" customHeight="1" outlineLevel="2">
      <c r="A548" s="406"/>
      <c r="B548" s="459" t="s">
        <v>561</v>
      </c>
      <c r="C548" s="493"/>
      <c r="D548" s="493"/>
      <c r="E548" s="493"/>
      <c r="F548" s="493"/>
      <c r="G548" s="493"/>
      <c r="H548" s="460"/>
      <c r="I548" s="461"/>
      <c r="J548" s="461"/>
      <c r="K548" s="461"/>
      <c r="L548" s="502"/>
      <c r="M548" s="456"/>
      <c r="N548" s="456"/>
      <c r="O548" s="456"/>
      <c r="P548" s="457"/>
      <c r="Q548" s="457"/>
      <c r="R548" s="413"/>
    </row>
    <row r="549" spans="1:18" s="450" customFormat="1" ht="14.1" customHeight="1" outlineLevel="2">
      <c r="A549" s="406"/>
      <c r="B549" s="459" t="s">
        <v>540</v>
      </c>
      <c r="C549" s="493"/>
      <c r="D549" s="493"/>
      <c r="E549" s="493"/>
      <c r="F549" s="493"/>
      <c r="G549" s="493"/>
      <c r="H549" s="460"/>
      <c r="I549" s="473"/>
      <c r="J549" s="473"/>
      <c r="K549" s="473"/>
      <c r="L549" s="506"/>
      <c r="M549" s="456"/>
      <c r="N549" s="456"/>
      <c r="O549" s="456"/>
      <c r="P549" s="457"/>
      <c r="Q549" s="457"/>
      <c r="R549" s="413"/>
    </row>
    <row r="550" spans="1:18" s="450" customFormat="1" ht="14.1" customHeight="1" outlineLevel="2">
      <c r="A550" s="406"/>
      <c r="B550" s="459" t="s">
        <v>541</v>
      </c>
      <c r="C550" s="493"/>
      <c r="D550" s="493"/>
      <c r="E550" s="493"/>
      <c r="F550" s="493"/>
      <c r="G550" s="493"/>
      <c r="H550" s="460"/>
      <c r="I550" s="465"/>
      <c r="J550" s="465"/>
      <c r="K550" s="465"/>
      <c r="L550" s="507"/>
      <c r="M550" s="456"/>
      <c r="N550" s="456"/>
      <c r="O550" s="456"/>
      <c r="P550" s="457"/>
      <c r="Q550" s="457"/>
      <c r="R550" s="413"/>
    </row>
    <row r="551" spans="1:18" s="450" customFormat="1" ht="14.1" customHeight="1" outlineLevel="2">
      <c r="A551" s="406"/>
      <c r="B551" s="459" t="s">
        <v>542</v>
      </c>
      <c r="C551" s="493"/>
      <c r="D551" s="493"/>
      <c r="E551" s="493"/>
      <c r="F551" s="493"/>
      <c r="G551" s="493"/>
      <c r="H551" s="460"/>
      <c r="I551" s="465"/>
      <c r="J551" s="465"/>
      <c r="K551" s="465"/>
      <c r="L551" s="507"/>
      <c r="M551" s="456"/>
      <c r="N551" s="456"/>
      <c r="O551" s="456"/>
      <c r="P551" s="457"/>
      <c r="Q551" s="457"/>
      <c r="R551" s="413"/>
    </row>
    <row r="552" spans="1:18" s="450" customFormat="1" ht="14.1" customHeight="1" outlineLevel="2">
      <c r="A552" s="406"/>
      <c r="B552" s="459" t="s">
        <v>543</v>
      </c>
      <c r="C552" s="493"/>
      <c r="D552" s="493"/>
      <c r="E552" s="493"/>
      <c r="F552" s="493"/>
      <c r="G552" s="493"/>
      <c r="H552" s="460"/>
      <c r="I552" s="465"/>
      <c r="J552" s="465"/>
      <c r="K552" s="465"/>
      <c r="L552" s="507"/>
      <c r="M552" s="456"/>
      <c r="N552" s="456"/>
      <c r="O552" s="456"/>
      <c r="P552" s="457"/>
      <c r="Q552" s="457"/>
      <c r="R552" s="413"/>
    </row>
    <row r="553" spans="1:18" s="450" customFormat="1" ht="14.1" customHeight="1" outlineLevel="2">
      <c r="A553" s="406"/>
      <c r="B553" s="459" t="s">
        <v>544</v>
      </c>
      <c r="C553" s="493"/>
      <c r="D553" s="493"/>
      <c r="E553" s="493"/>
      <c r="F553" s="493"/>
      <c r="G553" s="493"/>
      <c r="H553" s="460"/>
      <c r="I553" s="465"/>
      <c r="J553" s="465"/>
      <c r="K553" s="465"/>
      <c r="L553" s="507"/>
      <c r="M553" s="456"/>
      <c r="N553" s="456"/>
      <c r="O553" s="456"/>
      <c r="P553" s="457"/>
      <c r="Q553" s="457"/>
      <c r="R553" s="413"/>
    </row>
    <row r="554" spans="1:18" s="450" customFormat="1" ht="14.1" customHeight="1" outlineLevel="2">
      <c r="A554" s="406"/>
      <c r="B554" s="459" t="s">
        <v>545</v>
      </c>
      <c r="C554" s="493"/>
      <c r="D554" s="493"/>
      <c r="E554" s="493"/>
      <c r="F554" s="493"/>
      <c r="G554" s="493"/>
      <c r="H554" s="460"/>
      <c r="I554" s="465"/>
      <c r="J554" s="465"/>
      <c r="K554" s="465"/>
      <c r="L554" s="507"/>
      <c r="M554" s="456"/>
      <c r="N554" s="456"/>
      <c r="O554" s="456"/>
      <c r="P554" s="457"/>
      <c r="Q554" s="457"/>
      <c r="R554" s="413"/>
    </row>
    <row r="555" spans="1:18" s="450" customFormat="1" ht="14.1" customHeight="1" outlineLevel="2">
      <c r="A555" s="406"/>
      <c r="B555" s="459" t="s">
        <v>546</v>
      </c>
      <c r="C555" s="493"/>
      <c r="D555" s="493"/>
      <c r="E555" s="493"/>
      <c r="F555" s="493"/>
      <c r="G555" s="493"/>
      <c r="H555" s="460"/>
      <c r="I555" s="465"/>
      <c r="J555" s="465"/>
      <c r="K555" s="465"/>
      <c r="L555" s="507"/>
      <c r="M555" s="456"/>
      <c r="N555" s="456"/>
      <c r="O555" s="456"/>
      <c r="P555" s="457"/>
      <c r="Q555" s="457"/>
      <c r="R555" s="413"/>
    </row>
    <row r="556" spans="1:18" s="450" customFormat="1" ht="14.1" customHeight="1" outlineLevel="2">
      <c r="A556" s="406"/>
      <c r="B556" s="459" t="s">
        <v>547</v>
      </c>
      <c r="C556" s="493"/>
      <c r="D556" s="493"/>
      <c r="E556" s="493"/>
      <c r="F556" s="493"/>
      <c r="G556" s="493"/>
      <c r="H556" s="460"/>
      <c r="I556" s="465"/>
      <c r="J556" s="465"/>
      <c r="K556" s="465"/>
      <c r="L556" s="507"/>
      <c r="M556" s="456"/>
      <c r="N556" s="456"/>
      <c r="O556" s="456"/>
      <c r="P556" s="457"/>
      <c r="Q556" s="457"/>
      <c r="R556" s="413"/>
    </row>
    <row r="557" spans="1:18" s="450" customFormat="1" ht="14.1" customHeight="1" outlineLevel="2">
      <c r="A557" s="406"/>
      <c r="B557" s="459" t="s">
        <v>548</v>
      </c>
      <c r="C557" s="493"/>
      <c r="D557" s="493"/>
      <c r="E557" s="493"/>
      <c r="F557" s="493"/>
      <c r="G557" s="493"/>
      <c r="H557" s="460"/>
      <c r="I557" s="465"/>
      <c r="J557" s="465"/>
      <c r="K557" s="465"/>
      <c r="L557" s="507"/>
      <c r="M557" s="456"/>
      <c r="N557" s="456"/>
      <c r="O557" s="456"/>
      <c r="P557" s="457"/>
      <c r="Q557" s="457"/>
      <c r="R557" s="413"/>
    </row>
    <row r="558" spans="1:18" s="450" customFormat="1" ht="14.1" customHeight="1" outlineLevel="2">
      <c r="A558" s="406"/>
      <c r="B558" s="459" t="s">
        <v>549</v>
      </c>
      <c r="C558" s="493"/>
      <c r="D558" s="493"/>
      <c r="E558" s="493"/>
      <c r="F558" s="493"/>
      <c r="G558" s="493"/>
      <c r="H558" s="460"/>
      <c r="I558" s="465"/>
      <c r="J558" s="465"/>
      <c r="K558" s="465"/>
      <c r="L558" s="507"/>
      <c r="M558" s="456"/>
      <c r="N558" s="456"/>
      <c r="O558" s="456"/>
      <c r="P558" s="457"/>
      <c r="Q558" s="457"/>
      <c r="R558" s="413"/>
    </row>
    <row r="559" spans="1:18" s="450" customFormat="1" ht="14.1" customHeight="1" outlineLevel="2">
      <c r="A559" s="406"/>
      <c r="B559" s="459" t="s">
        <v>349</v>
      </c>
      <c r="C559" s="493"/>
      <c r="D559" s="493"/>
      <c r="E559" s="493"/>
      <c r="F559" s="493"/>
      <c r="G559" s="493"/>
      <c r="H559" s="460"/>
      <c r="I559" s="466"/>
      <c r="J559" s="466"/>
      <c r="K559" s="466"/>
      <c r="L559" s="497"/>
      <c r="M559" s="456"/>
      <c r="N559" s="456"/>
      <c r="O559" s="456"/>
      <c r="P559" s="457"/>
      <c r="Q559" s="457"/>
      <c r="R559" s="413"/>
    </row>
    <row r="560" spans="1:18" s="450" customFormat="1" ht="14.1" customHeight="1" outlineLevel="2" collapsed="1">
      <c r="A560" s="406"/>
      <c r="B560" s="459" t="s">
        <v>350</v>
      </c>
      <c r="C560" s="493"/>
      <c r="D560" s="493"/>
      <c r="E560" s="493"/>
      <c r="F560" s="493"/>
      <c r="G560" s="493"/>
      <c r="H560" s="460"/>
      <c r="I560" s="454"/>
      <c r="J560" s="454"/>
      <c r="K560" s="454"/>
      <c r="L560" s="457"/>
      <c r="M560" s="456"/>
      <c r="N560" s="456"/>
      <c r="O560" s="456"/>
      <c r="P560" s="457"/>
      <c r="Q560" s="457"/>
      <c r="R560" s="413"/>
    </row>
    <row r="561" spans="1:18" s="450" customFormat="1" ht="14.1" customHeight="1" outlineLevel="2" collapsed="1">
      <c r="A561" s="406"/>
      <c r="B561" s="459" t="s">
        <v>351</v>
      </c>
      <c r="C561" s="493"/>
      <c r="D561" s="493"/>
      <c r="E561" s="493"/>
      <c r="F561" s="493"/>
      <c r="G561" s="493"/>
      <c r="H561" s="460"/>
      <c r="I561" s="454"/>
      <c r="J561" s="454"/>
      <c r="K561" s="454"/>
      <c r="L561" s="457"/>
      <c r="M561" s="456"/>
      <c r="N561" s="456"/>
      <c r="O561" s="456"/>
      <c r="P561" s="457"/>
      <c r="Q561" s="457"/>
      <c r="R561" s="413"/>
    </row>
    <row r="562" spans="1:18" s="450" customFormat="1" ht="14.1" customHeight="1" outlineLevel="2" collapsed="1">
      <c r="A562" s="406"/>
      <c r="B562" s="459" t="s">
        <v>562</v>
      </c>
      <c r="C562" s="493"/>
      <c r="D562" s="493"/>
      <c r="E562" s="493"/>
      <c r="F562" s="493"/>
      <c r="G562" s="493"/>
      <c r="H562" s="460"/>
      <c r="I562" s="454"/>
      <c r="J562" s="454"/>
      <c r="K562" s="454"/>
      <c r="L562" s="457"/>
      <c r="M562" s="456"/>
      <c r="N562" s="456"/>
      <c r="O562" s="456"/>
      <c r="P562" s="457"/>
      <c r="Q562" s="457"/>
      <c r="R562" s="413"/>
    </row>
    <row r="563" spans="1:18" s="450" customFormat="1" ht="14.1" customHeight="1" outlineLevel="2">
      <c r="A563" s="406"/>
      <c r="B563" s="459" t="s">
        <v>563</v>
      </c>
      <c r="C563" s="493"/>
      <c r="D563" s="493"/>
      <c r="E563" s="493"/>
      <c r="F563" s="493"/>
      <c r="G563" s="493"/>
      <c r="H563" s="460"/>
      <c r="I563" s="454"/>
      <c r="J563" s="454"/>
      <c r="K563" s="454"/>
      <c r="L563" s="457"/>
      <c r="M563" s="456"/>
      <c r="N563" s="456"/>
      <c r="O563" s="456"/>
      <c r="P563" s="457"/>
      <c r="Q563" s="457"/>
      <c r="R563" s="413"/>
    </row>
    <row r="564" spans="1:18" s="450" customFormat="1" ht="14.1" customHeight="1" outlineLevel="2" collapsed="1">
      <c r="A564" s="406"/>
      <c r="B564" s="459"/>
      <c r="C564" s="493"/>
      <c r="D564" s="493"/>
      <c r="E564" s="493"/>
      <c r="F564" s="493"/>
      <c r="G564" s="493"/>
      <c r="H564" s="455"/>
      <c r="I564" s="455"/>
      <c r="J564" s="455"/>
      <c r="K564" s="455"/>
      <c r="L564" s="455"/>
      <c r="M564" s="455"/>
      <c r="N564" s="455"/>
      <c r="O564" s="455"/>
      <c r="P564" s="454"/>
      <c r="Q564" s="454"/>
      <c r="R564" s="413"/>
    </row>
    <row r="565" spans="1:18" s="290" customFormat="1" ht="14.1" customHeight="1" outlineLevel="1">
      <c r="A565" s="406"/>
      <c r="B565" s="496" t="s">
        <v>564</v>
      </c>
      <c r="C565" s="494"/>
      <c r="D565" s="494"/>
      <c r="E565" s="494"/>
      <c r="F565" s="494"/>
      <c r="G565" s="494"/>
      <c r="H565" s="494"/>
      <c r="I565" s="494">
        <v>-1000000000</v>
      </c>
      <c r="J565" s="494"/>
      <c r="K565" s="494"/>
      <c r="L565" s="494">
        <v>1000000000</v>
      </c>
      <c r="M565" s="508"/>
      <c r="N565" s="508"/>
      <c r="O565" s="508"/>
      <c r="P565" s="508"/>
      <c r="Q565" s="508"/>
      <c r="R565" s="413"/>
    </row>
    <row r="566" spans="1:18" s="450" customFormat="1" ht="14.1" customHeight="1" outlineLevel="2">
      <c r="A566" s="406"/>
      <c r="B566" s="472" t="s">
        <v>559</v>
      </c>
      <c r="C566" s="493"/>
      <c r="D566" s="493"/>
      <c r="E566" s="493"/>
      <c r="F566" s="493"/>
      <c r="G566" s="493"/>
      <c r="H566" s="460"/>
      <c r="I566" s="460"/>
      <c r="J566" s="460"/>
      <c r="K566" s="460"/>
      <c r="L566" s="500"/>
      <c r="M566" s="456"/>
      <c r="N566" s="456"/>
      <c r="O566" s="456"/>
      <c r="P566" s="457"/>
      <c r="Q566" s="457"/>
      <c r="R566" s="413"/>
    </row>
    <row r="567" spans="1:18" s="450" customFormat="1" ht="14.1" customHeight="1" outlineLevel="2">
      <c r="A567" s="406"/>
      <c r="B567" s="472" t="s">
        <v>355</v>
      </c>
      <c r="C567" s="493"/>
      <c r="D567" s="493"/>
      <c r="E567" s="493"/>
      <c r="F567" s="493"/>
      <c r="G567" s="493"/>
      <c r="H567" s="461"/>
      <c r="I567" s="461"/>
      <c r="J567" s="461"/>
      <c r="K567" s="461"/>
      <c r="L567" s="502"/>
      <c r="M567" s="456"/>
      <c r="N567" s="456"/>
      <c r="O567" s="456"/>
      <c r="P567" s="457"/>
      <c r="Q567" s="457"/>
      <c r="R567" s="413"/>
    </row>
    <row r="568" spans="1:18" s="450" customFormat="1" ht="14.1" customHeight="1" outlineLevel="2">
      <c r="A568" s="406"/>
      <c r="B568" s="472" t="s">
        <v>336</v>
      </c>
      <c r="C568" s="493"/>
      <c r="D568" s="493"/>
      <c r="E568" s="493"/>
      <c r="F568" s="493"/>
      <c r="G568" s="493"/>
      <c r="H568" s="462"/>
      <c r="I568" s="462"/>
      <c r="J568" s="462"/>
      <c r="K568" s="462"/>
      <c r="L568" s="503"/>
      <c r="M568" s="456"/>
      <c r="N568" s="456"/>
      <c r="O568" s="456"/>
      <c r="P568" s="457"/>
      <c r="Q568" s="457"/>
      <c r="R568" s="413"/>
    </row>
    <row r="569" spans="1:18" s="450" customFormat="1" ht="14.1" customHeight="1" outlineLevel="2">
      <c r="A569" s="406"/>
      <c r="B569" s="472" t="s">
        <v>538</v>
      </c>
      <c r="C569" s="493"/>
      <c r="D569" s="493"/>
      <c r="E569" s="493"/>
      <c r="F569" s="493"/>
      <c r="G569" s="493"/>
      <c r="H569" s="463"/>
      <c r="I569" s="463"/>
      <c r="J569" s="463"/>
      <c r="K569" s="463"/>
      <c r="L569" s="504"/>
      <c r="M569" s="456"/>
      <c r="N569" s="456"/>
      <c r="O569" s="456"/>
      <c r="P569" s="457"/>
      <c r="Q569" s="457"/>
      <c r="R569" s="413"/>
    </row>
    <row r="570" spans="1:18" s="450" customFormat="1" ht="14.1" customHeight="1" outlineLevel="2">
      <c r="A570" s="406"/>
      <c r="B570" s="472" t="s">
        <v>338</v>
      </c>
      <c r="C570" s="493"/>
      <c r="D570" s="493"/>
      <c r="E570" s="493"/>
      <c r="F570" s="493"/>
      <c r="G570" s="493"/>
      <c r="H570" s="454"/>
      <c r="I570" s="454"/>
      <c r="J570" s="454"/>
      <c r="K570" s="454"/>
      <c r="L570" s="457"/>
      <c r="M570" s="456"/>
      <c r="N570" s="456"/>
      <c r="O570" s="456"/>
      <c r="P570" s="457"/>
      <c r="Q570" s="457"/>
      <c r="R570" s="413"/>
    </row>
    <row r="571" spans="1:18" s="450" customFormat="1" ht="14.1" customHeight="1" outlineLevel="2">
      <c r="A571" s="406"/>
      <c r="B571" s="472" t="s">
        <v>421</v>
      </c>
      <c r="C571" s="493"/>
      <c r="D571" s="493"/>
      <c r="E571" s="493"/>
      <c r="F571" s="493"/>
      <c r="G571" s="493"/>
      <c r="H571" s="218"/>
      <c r="I571" s="218"/>
      <c r="J571" s="218"/>
      <c r="K571" s="218"/>
      <c r="L571" s="505"/>
      <c r="M571" s="456"/>
      <c r="N571" s="456"/>
      <c r="O571" s="456"/>
      <c r="P571" s="457"/>
      <c r="Q571" s="457"/>
      <c r="R571" s="413"/>
    </row>
    <row r="572" spans="1:18" s="450" customFormat="1" ht="14.1" customHeight="1" outlineLevel="2">
      <c r="A572" s="406"/>
      <c r="B572" s="472" t="s">
        <v>422</v>
      </c>
      <c r="C572" s="493"/>
      <c r="D572" s="493"/>
      <c r="E572" s="493"/>
      <c r="F572" s="493"/>
      <c r="G572" s="493"/>
      <c r="H572" s="218"/>
      <c r="I572" s="218"/>
      <c r="J572" s="218"/>
      <c r="K572" s="218"/>
      <c r="L572" s="505"/>
      <c r="M572" s="456"/>
      <c r="N572" s="456"/>
      <c r="O572" s="456"/>
      <c r="P572" s="457"/>
      <c r="Q572" s="457"/>
      <c r="R572" s="413"/>
    </row>
    <row r="573" spans="1:18" s="450" customFormat="1" ht="14.1" customHeight="1" outlineLevel="2">
      <c r="A573" s="406"/>
      <c r="B573" s="472" t="s">
        <v>561</v>
      </c>
      <c r="C573" s="493"/>
      <c r="D573" s="493"/>
      <c r="E573" s="493"/>
      <c r="F573" s="493"/>
      <c r="G573" s="493"/>
      <c r="H573" s="461"/>
      <c r="I573" s="461"/>
      <c r="J573" s="461"/>
      <c r="K573" s="461"/>
      <c r="L573" s="502"/>
      <c r="M573" s="456"/>
      <c r="N573" s="456"/>
      <c r="O573" s="456"/>
      <c r="P573" s="457"/>
      <c r="Q573" s="457"/>
      <c r="R573" s="413"/>
    </row>
    <row r="574" spans="1:18" s="450" customFormat="1" ht="14.1" customHeight="1" outlineLevel="2">
      <c r="A574" s="406"/>
      <c r="B574" s="472" t="s">
        <v>540</v>
      </c>
      <c r="C574" s="493"/>
      <c r="D574" s="493"/>
      <c r="E574" s="493"/>
      <c r="F574" s="493"/>
      <c r="G574" s="493"/>
      <c r="H574" s="473"/>
      <c r="I574" s="473"/>
      <c r="J574" s="473"/>
      <c r="K574" s="473"/>
      <c r="L574" s="506"/>
      <c r="M574" s="456"/>
      <c r="N574" s="456"/>
      <c r="O574" s="456"/>
      <c r="P574" s="457"/>
      <c r="Q574" s="457"/>
      <c r="R574" s="413"/>
    </row>
    <row r="575" spans="1:18" s="450" customFormat="1" ht="14.1" customHeight="1" outlineLevel="2">
      <c r="A575" s="406"/>
      <c r="B575" s="472" t="s">
        <v>541</v>
      </c>
      <c r="C575" s="493"/>
      <c r="D575" s="493"/>
      <c r="E575" s="493"/>
      <c r="F575" s="493"/>
      <c r="G575" s="493"/>
      <c r="H575" s="465"/>
      <c r="I575" s="465"/>
      <c r="J575" s="465"/>
      <c r="K575" s="465"/>
      <c r="L575" s="507"/>
      <c r="M575" s="456"/>
      <c r="N575" s="456"/>
      <c r="O575" s="456"/>
      <c r="P575" s="457"/>
      <c r="Q575" s="457"/>
      <c r="R575" s="413"/>
    </row>
    <row r="576" spans="1:18" s="450" customFormat="1" ht="14.1" customHeight="1" outlineLevel="2">
      <c r="A576" s="406"/>
      <c r="B576" s="472" t="s">
        <v>542</v>
      </c>
      <c r="C576" s="493"/>
      <c r="D576" s="493"/>
      <c r="E576" s="493"/>
      <c r="F576" s="493"/>
      <c r="G576" s="493"/>
      <c r="H576" s="465"/>
      <c r="I576" s="465"/>
      <c r="J576" s="465"/>
      <c r="K576" s="465"/>
      <c r="L576" s="507"/>
      <c r="M576" s="456"/>
      <c r="N576" s="456"/>
      <c r="O576" s="456"/>
      <c r="P576" s="457"/>
      <c r="Q576" s="457"/>
      <c r="R576" s="413"/>
    </row>
    <row r="577" spans="1:18" s="450" customFormat="1" ht="14.1" customHeight="1" outlineLevel="2">
      <c r="A577" s="406"/>
      <c r="B577" s="472" t="s">
        <v>543</v>
      </c>
      <c r="C577" s="493"/>
      <c r="D577" s="493"/>
      <c r="E577" s="493"/>
      <c r="F577" s="493"/>
      <c r="G577" s="493"/>
      <c r="H577" s="465"/>
      <c r="I577" s="465"/>
      <c r="J577" s="465"/>
      <c r="K577" s="465"/>
      <c r="L577" s="507"/>
      <c r="M577" s="456"/>
      <c r="N577" s="456"/>
      <c r="O577" s="456"/>
      <c r="P577" s="457"/>
      <c r="Q577" s="457"/>
      <c r="R577" s="413"/>
    </row>
    <row r="578" spans="1:18" s="450" customFormat="1" ht="14.1" customHeight="1" outlineLevel="2">
      <c r="A578" s="406"/>
      <c r="B578" s="472" t="s">
        <v>544</v>
      </c>
      <c r="C578" s="493"/>
      <c r="D578" s="493"/>
      <c r="E578" s="493"/>
      <c r="F578" s="493"/>
      <c r="G578" s="493"/>
      <c r="H578" s="465"/>
      <c r="I578" s="465"/>
      <c r="J578" s="465"/>
      <c r="K578" s="465"/>
      <c r="L578" s="507"/>
      <c r="M578" s="456"/>
      <c r="N578" s="456"/>
      <c r="O578" s="456"/>
      <c r="P578" s="457"/>
      <c r="Q578" s="457"/>
      <c r="R578" s="413"/>
    </row>
    <row r="579" spans="1:18" s="450" customFormat="1" ht="14.1" customHeight="1" outlineLevel="2">
      <c r="A579" s="406"/>
      <c r="B579" s="472" t="s">
        <v>545</v>
      </c>
      <c r="C579" s="493"/>
      <c r="D579" s="493"/>
      <c r="E579" s="493"/>
      <c r="F579" s="493"/>
      <c r="G579" s="493"/>
      <c r="H579" s="465"/>
      <c r="I579" s="465"/>
      <c r="J579" s="465"/>
      <c r="K579" s="465"/>
      <c r="L579" s="507"/>
      <c r="M579" s="456"/>
      <c r="N579" s="456"/>
      <c r="O579" s="456"/>
      <c r="P579" s="457"/>
      <c r="Q579" s="457"/>
      <c r="R579" s="413"/>
    </row>
    <row r="580" spans="1:18" s="450" customFormat="1" ht="14.1" customHeight="1" outlineLevel="2">
      <c r="A580" s="406"/>
      <c r="B580" s="472" t="s">
        <v>546</v>
      </c>
      <c r="C580" s="493"/>
      <c r="D580" s="493"/>
      <c r="E580" s="493"/>
      <c r="F580" s="493"/>
      <c r="G580" s="493"/>
      <c r="H580" s="465"/>
      <c r="I580" s="465"/>
      <c r="J580" s="465"/>
      <c r="K580" s="465"/>
      <c r="L580" s="507"/>
      <c r="M580" s="456"/>
      <c r="N580" s="456"/>
      <c r="O580" s="456"/>
      <c r="P580" s="457"/>
      <c r="Q580" s="457"/>
      <c r="R580" s="413"/>
    </row>
    <row r="581" spans="1:18" s="450" customFormat="1" ht="14.1" customHeight="1" outlineLevel="2">
      <c r="A581" s="406"/>
      <c r="B581" s="472" t="s">
        <v>547</v>
      </c>
      <c r="C581" s="493"/>
      <c r="D581" s="493"/>
      <c r="E581" s="493"/>
      <c r="F581" s="493"/>
      <c r="G581" s="493"/>
      <c r="H581" s="465"/>
      <c r="I581" s="465"/>
      <c r="J581" s="465"/>
      <c r="K581" s="465"/>
      <c r="L581" s="507"/>
      <c r="M581" s="456"/>
      <c r="N581" s="456"/>
      <c r="O581" s="456"/>
      <c r="P581" s="457"/>
      <c r="Q581" s="457"/>
      <c r="R581" s="413"/>
    </row>
    <row r="582" spans="1:18" s="450" customFormat="1" ht="14.1" customHeight="1" outlineLevel="2">
      <c r="A582" s="406"/>
      <c r="B582" s="472" t="s">
        <v>548</v>
      </c>
      <c r="C582" s="493"/>
      <c r="D582" s="493"/>
      <c r="E582" s="493"/>
      <c r="F582" s="493"/>
      <c r="G582" s="493"/>
      <c r="H582" s="465"/>
      <c r="I582" s="465"/>
      <c r="J582" s="465"/>
      <c r="K582" s="465"/>
      <c r="L582" s="507"/>
      <c r="M582" s="456"/>
      <c r="N582" s="456"/>
      <c r="O582" s="456"/>
      <c r="P582" s="457"/>
      <c r="Q582" s="457"/>
      <c r="R582" s="413"/>
    </row>
    <row r="583" spans="1:18" s="450" customFormat="1" ht="14.1" customHeight="1" outlineLevel="2">
      <c r="A583" s="406"/>
      <c r="B583" s="472" t="s">
        <v>549</v>
      </c>
      <c r="C583" s="493"/>
      <c r="D583" s="493"/>
      <c r="E583" s="493"/>
      <c r="F583" s="493"/>
      <c r="G583" s="493"/>
      <c r="H583" s="465"/>
      <c r="I583" s="465"/>
      <c r="J583" s="465"/>
      <c r="K583" s="465"/>
      <c r="L583" s="507"/>
      <c r="M583" s="456"/>
      <c r="N583" s="456"/>
      <c r="O583" s="456"/>
      <c r="P583" s="457"/>
      <c r="Q583" s="457"/>
      <c r="R583" s="413"/>
    </row>
    <row r="584" spans="1:18" s="450" customFormat="1" ht="14.1" customHeight="1" outlineLevel="2">
      <c r="A584" s="406"/>
      <c r="B584" s="472" t="s">
        <v>349</v>
      </c>
      <c r="C584" s="493"/>
      <c r="D584" s="493"/>
      <c r="E584" s="493"/>
      <c r="F584" s="493"/>
      <c r="G584" s="493"/>
      <c r="H584" s="466"/>
      <c r="I584" s="466"/>
      <c r="J584" s="466"/>
      <c r="K584" s="466"/>
      <c r="L584" s="497"/>
      <c r="M584" s="456"/>
      <c r="N584" s="456"/>
      <c r="O584" s="456"/>
      <c r="P584" s="457"/>
      <c r="Q584" s="457"/>
      <c r="R584" s="413"/>
    </row>
    <row r="585" spans="1:18" s="450" customFormat="1" ht="14.1" customHeight="1" outlineLevel="2" collapsed="1">
      <c r="A585" s="406"/>
      <c r="B585" s="472" t="s">
        <v>350</v>
      </c>
      <c r="C585" s="493"/>
      <c r="D585" s="493"/>
      <c r="E585" s="493"/>
      <c r="F585" s="493"/>
      <c r="G585" s="493"/>
      <c r="H585" s="454"/>
      <c r="I585" s="454"/>
      <c r="J585" s="454"/>
      <c r="K585" s="454"/>
      <c r="L585" s="457"/>
      <c r="M585" s="456"/>
      <c r="N585" s="456"/>
      <c r="O585" s="456"/>
      <c r="P585" s="457"/>
      <c r="Q585" s="457"/>
      <c r="R585" s="413"/>
    </row>
    <row r="586" spans="1:18" s="450" customFormat="1" ht="14.1" customHeight="1" outlineLevel="2" collapsed="1">
      <c r="A586" s="406"/>
      <c r="B586" s="472" t="s">
        <v>351</v>
      </c>
      <c r="C586" s="493"/>
      <c r="D586" s="493"/>
      <c r="E586" s="493"/>
      <c r="F586" s="493"/>
      <c r="G586" s="493"/>
      <c r="H586" s="454"/>
      <c r="I586" s="454"/>
      <c r="J586" s="454"/>
      <c r="K586" s="454"/>
      <c r="L586" s="457"/>
      <c r="M586" s="456"/>
      <c r="N586" s="456"/>
      <c r="O586" s="456"/>
      <c r="P586" s="457"/>
      <c r="Q586" s="457"/>
      <c r="R586" s="413"/>
    </row>
    <row r="587" spans="1:18" s="450" customFormat="1" ht="14.1" customHeight="1" outlineLevel="2" collapsed="1">
      <c r="A587" s="406"/>
      <c r="B587" s="472" t="s">
        <v>565</v>
      </c>
      <c r="C587" s="493"/>
      <c r="D587" s="493"/>
      <c r="E587" s="493"/>
      <c r="F587" s="493"/>
      <c r="G587" s="493"/>
      <c r="H587" s="454"/>
      <c r="I587" s="454"/>
      <c r="J587" s="454"/>
      <c r="K587" s="454"/>
      <c r="L587" s="457"/>
      <c r="M587" s="456"/>
      <c r="N587" s="456"/>
      <c r="O587" s="456"/>
      <c r="P587" s="457"/>
      <c r="Q587" s="457"/>
      <c r="R587" s="413"/>
    </row>
    <row r="588" spans="1:18" s="450" customFormat="1" ht="14.1" customHeight="1" outlineLevel="2">
      <c r="A588" s="406"/>
      <c r="B588" s="472" t="s">
        <v>566</v>
      </c>
      <c r="C588" s="493"/>
      <c r="D588" s="493"/>
      <c r="E588" s="493"/>
      <c r="F588" s="493"/>
      <c r="G588" s="493"/>
      <c r="H588" s="454"/>
      <c r="I588" s="454"/>
      <c r="J588" s="454"/>
      <c r="K588" s="454"/>
      <c r="L588" s="457"/>
      <c r="M588" s="456"/>
      <c r="N588" s="456"/>
      <c r="O588" s="456"/>
      <c r="P588" s="457"/>
      <c r="Q588" s="457"/>
      <c r="R588" s="413"/>
    </row>
    <row r="589" spans="1:18" s="148" customFormat="1" ht="16.350000000000001" customHeight="1" outlineLevel="1">
      <c r="A589" s="446"/>
      <c r="B589" s="232" t="s">
        <v>567</v>
      </c>
      <c r="C589" s="233">
        <f t="shared" ref="C589:L589" si="83">SUM(C156:C565)+D589</f>
        <v>0</v>
      </c>
      <c r="D589" s="233">
        <f>SUM(D156:D565)+E589</f>
        <v>0</v>
      </c>
      <c r="E589" s="233">
        <f>SUM(E156:E565)+F589</f>
        <v>20000000000</v>
      </c>
      <c r="F589" s="233">
        <f t="shared" si="83"/>
        <v>50000000000</v>
      </c>
      <c r="G589" s="233">
        <f t="shared" si="83"/>
        <v>55000000000</v>
      </c>
      <c r="H589" s="233">
        <f t="shared" si="83"/>
        <v>20000000000</v>
      </c>
      <c r="I589" s="233">
        <f t="shared" si="83"/>
        <v>30000000000</v>
      </c>
      <c r="J589" s="233">
        <f t="shared" si="83"/>
        <v>20500000000</v>
      </c>
      <c r="K589" s="233">
        <f t="shared" si="83"/>
        <v>15500000000</v>
      </c>
      <c r="L589" s="233">
        <f t="shared" si="83"/>
        <v>5500000000</v>
      </c>
      <c r="M589" s="233">
        <f>SUM(M156:M565)</f>
        <v>0</v>
      </c>
      <c r="N589" s="233">
        <f>SUM(N156:N565)</f>
        <v>0</v>
      </c>
      <c r="O589" s="233">
        <f>SUM(O156:O565)</f>
        <v>0</v>
      </c>
      <c r="P589" s="233">
        <f>SUM(P156:P565)</f>
        <v>0</v>
      </c>
      <c r="Q589" s="233">
        <f>SUM(Q156:Q565)</f>
        <v>0</v>
      </c>
      <c r="R589" s="458"/>
    </row>
    <row r="590" spans="1:18" s="290" customFormat="1" ht="14.1" customHeight="1" outlineLevel="1">
      <c r="A590" s="446"/>
      <c r="B590" s="509"/>
      <c r="C590" s="510"/>
      <c r="D590" s="510"/>
      <c r="E590" s="510"/>
      <c r="F590" s="510"/>
      <c r="G590" s="510"/>
      <c r="H590" s="510"/>
      <c r="I590" s="510"/>
      <c r="J590" s="510"/>
      <c r="K590" s="510"/>
      <c r="L590" s="511"/>
      <c r="M590" s="512"/>
      <c r="N590" s="512"/>
      <c r="O590" s="512"/>
      <c r="P590" s="512"/>
      <c r="Q590" s="512"/>
      <c r="R590" s="458"/>
    </row>
    <row r="591" spans="1:18" s="148" customFormat="1" ht="16.350000000000001" customHeight="1" outlineLevel="1">
      <c r="A591" s="446"/>
      <c r="B591" s="513" t="s">
        <v>568</v>
      </c>
      <c r="C591" s="514">
        <f>SUM(C158:C567)+D591</f>
        <v>-20000000000</v>
      </c>
      <c r="D591" s="514">
        <f>SUM(D158:D567)+E591</f>
        <v>-20000000000</v>
      </c>
      <c r="E591" s="514"/>
      <c r="F591" s="514"/>
      <c r="G591" s="514"/>
      <c r="H591" s="514"/>
      <c r="I591" s="514"/>
      <c r="J591" s="514"/>
      <c r="K591" s="514"/>
      <c r="L591" s="514"/>
      <c r="M591" s="514"/>
      <c r="N591" s="514"/>
      <c r="O591" s="514"/>
      <c r="P591" s="514"/>
      <c r="Q591" s="514"/>
      <c r="R591" s="458"/>
    </row>
    <row r="592" spans="1:18" s="450" customFormat="1" ht="14.1" customHeight="1" outlineLevel="2">
      <c r="A592" s="406"/>
      <c r="B592" s="496" t="s">
        <v>332</v>
      </c>
      <c r="C592" s="494"/>
      <c r="D592" s="494"/>
      <c r="E592" s="494"/>
      <c r="F592" s="494"/>
      <c r="G592" s="494"/>
      <c r="H592" s="494"/>
      <c r="I592" s="494"/>
      <c r="J592" s="494"/>
      <c r="K592" s="494"/>
      <c r="L592" s="494"/>
      <c r="M592" s="494"/>
      <c r="N592" s="494"/>
      <c r="O592" s="494"/>
      <c r="P592" s="494"/>
      <c r="Q592" s="494"/>
      <c r="R592" s="413"/>
    </row>
    <row r="593" spans="1:19" s="450" customFormat="1" ht="14.1" customHeight="1" outlineLevel="2">
      <c r="A593" s="406"/>
      <c r="B593" s="451" t="s">
        <v>333</v>
      </c>
      <c r="C593" s="494"/>
      <c r="D593" s="494"/>
      <c r="E593" s="494">
        <f>498600000+498600000</f>
        <v>997200000</v>
      </c>
      <c r="F593" s="494">
        <v>484900000</v>
      </c>
      <c r="G593" s="494"/>
      <c r="H593" s="494"/>
      <c r="I593" s="494"/>
      <c r="J593" s="494"/>
      <c r="K593" s="494"/>
      <c r="L593" s="494"/>
      <c r="M593" s="494"/>
      <c r="N593" s="494"/>
      <c r="O593" s="494"/>
      <c r="P593" s="494"/>
      <c r="Q593" s="494"/>
      <c r="R593" s="413"/>
      <c r="S593" s="515"/>
    </row>
    <row r="594" spans="1:19" s="450" customFormat="1" ht="14.1" customHeight="1" outlineLevel="2">
      <c r="A594" s="406"/>
      <c r="B594" s="468" t="s">
        <v>354</v>
      </c>
      <c r="C594" s="494"/>
      <c r="D594" s="494">
        <v>528500000</v>
      </c>
      <c r="E594" s="494">
        <f>528500000+528500000</f>
        <v>1057000000</v>
      </c>
      <c r="F594" s="494">
        <v>528500000</v>
      </c>
      <c r="G594" s="494"/>
      <c r="H594" s="494"/>
      <c r="I594" s="494"/>
      <c r="J594" s="494"/>
      <c r="K594" s="494"/>
      <c r="L594" s="494"/>
      <c r="M594" s="494"/>
      <c r="N594" s="494"/>
      <c r="O594" s="494"/>
      <c r="P594" s="494"/>
      <c r="Q594" s="494"/>
      <c r="R594" s="413"/>
      <c r="S594" s="515"/>
    </row>
    <row r="595" spans="1:19" s="450" customFormat="1" ht="14.1" customHeight="1" outlineLevel="2">
      <c r="A595" s="406"/>
      <c r="B595" s="451" t="s">
        <v>369</v>
      </c>
      <c r="C595" s="494"/>
      <c r="D595" s="494">
        <v>558500000</v>
      </c>
      <c r="E595" s="494">
        <f>558500000+558500000</f>
        <v>1117000000</v>
      </c>
      <c r="F595" s="494">
        <v>558500000</v>
      </c>
      <c r="G595" s="494"/>
      <c r="H595" s="494"/>
      <c r="I595" s="494"/>
      <c r="J595" s="494"/>
      <c r="K595" s="494"/>
      <c r="L595" s="494"/>
      <c r="M595" s="494"/>
      <c r="N595" s="494"/>
      <c r="O595" s="494"/>
      <c r="P595" s="494"/>
      <c r="Q595" s="494"/>
      <c r="R595" s="413"/>
      <c r="S595" s="515"/>
    </row>
    <row r="596" spans="1:19" s="450" customFormat="1" ht="14.1" customHeight="1" outlineLevel="2">
      <c r="A596" s="406"/>
      <c r="B596" s="475" t="s">
        <v>381</v>
      </c>
      <c r="C596" s="516"/>
      <c r="D596" s="516"/>
      <c r="E596" s="516">
        <v>558500000</v>
      </c>
      <c r="F596" s="516">
        <f>558500000+558500000</f>
        <v>1117000000</v>
      </c>
      <c r="G596" s="516"/>
      <c r="H596" s="516"/>
      <c r="I596" s="516"/>
      <c r="J596" s="516"/>
      <c r="K596" s="516"/>
      <c r="L596" s="516"/>
      <c r="M596" s="516"/>
      <c r="N596" s="516"/>
      <c r="O596" s="516"/>
      <c r="P596" s="516"/>
      <c r="Q596" s="516"/>
      <c r="R596" s="413"/>
    </row>
    <row r="597" spans="1:19" s="450" customFormat="1" ht="14.1" customHeight="1" outlineLevel="2">
      <c r="A597" s="406"/>
      <c r="B597" s="475" t="s">
        <v>392</v>
      </c>
      <c r="C597" s="516"/>
      <c r="D597" s="516"/>
      <c r="E597" s="516">
        <v>583400000</v>
      </c>
      <c r="F597" s="516">
        <f>583400000+583400000</f>
        <v>1166800000</v>
      </c>
      <c r="G597" s="516"/>
      <c r="H597" s="516"/>
      <c r="I597" s="516"/>
      <c r="J597" s="516"/>
      <c r="K597" s="516"/>
      <c r="L597" s="516"/>
      <c r="M597" s="516"/>
      <c r="N597" s="516"/>
      <c r="O597" s="516"/>
      <c r="P597" s="516"/>
      <c r="Q597" s="516"/>
      <c r="R597" s="413"/>
    </row>
    <row r="598" spans="1:19" s="450" customFormat="1" ht="14.1" customHeight="1" outlineLevel="2">
      <c r="A598" s="406"/>
      <c r="B598" s="475" t="s">
        <v>403</v>
      </c>
      <c r="C598" s="516"/>
      <c r="D598" s="516"/>
      <c r="E598" s="516"/>
      <c r="F598" s="516">
        <f>578400000+578400000</f>
        <v>1156800000</v>
      </c>
      <c r="G598" s="516"/>
      <c r="H598" s="516"/>
      <c r="I598" s="516"/>
      <c r="J598" s="516"/>
      <c r="K598" s="516"/>
      <c r="L598" s="516"/>
      <c r="M598" s="516"/>
      <c r="N598" s="516"/>
      <c r="O598" s="516"/>
      <c r="P598" s="516"/>
      <c r="Q598" s="516"/>
      <c r="R598" s="413"/>
    </row>
    <row r="599" spans="1:19" s="450" customFormat="1" ht="14.1" customHeight="1" outlineLevel="2">
      <c r="A599" s="406"/>
      <c r="B599" s="475" t="s">
        <v>418</v>
      </c>
      <c r="C599" s="516"/>
      <c r="D599" s="516"/>
      <c r="E599" s="516"/>
      <c r="F599" s="516">
        <v>301650000</v>
      </c>
      <c r="G599" s="516">
        <v>301650000</v>
      </c>
      <c r="H599" s="516"/>
      <c r="I599" s="516"/>
      <c r="J599" s="516"/>
      <c r="K599" s="516"/>
      <c r="L599" s="516"/>
      <c r="M599" s="516"/>
      <c r="N599" s="516"/>
      <c r="O599" s="516"/>
      <c r="P599" s="516"/>
      <c r="Q599" s="516"/>
      <c r="R599" s="413"/>
    </row>
    <row r="600" spans="1:19" s="450" customFormat="1" ht="14.1" customHeight="1" outlineLevel="2">
      <c r="A600" s="406"/>
      <c r="B600" s="475" t="s">
        <v>436</v>
      </c>
      <c r="C600" s="516"/>
      <c r="D600" s="516"/>
      <c r="E600" s="516"/>
      <c r="F600" s="516">
        <v>301650000</v>
      </c>
      <c r="G600" s="516">
        <v>301650000</v>
      </c>
      <c r="H600" s="516"/>
      <c r="I600" s="516"/>
      <c r="J600" s="516"/>
      <c r="K600" s="516"/>
      <c r="L600" s="516"/>
      <c r="M600" s="516"/>
      <c r="N600" s="516"/>
      <c r="O600" s="516"/>
      <c r="P600" s="516"/>
      <c r="Q600" s="516"/>
      <c r="R600" s="413"/>
    </row>
    <row r="601" spans="1:19" s="450" customFormat="1" ht="14.1" customHeight="1" outlineLevel="2">
      <c r="A601" s="406"/>
      <c r="B601" s="496" t="s">
        <v>440</v>
      </c>
      <c r="C601" s="184"/>
      <c r="D601" s="184"/>
      <c r="E601" s="184"/>
      <c r="F601" s="184"/>
      <c r="G601" s="184"/>
      <c r="H601" s="184"/>
      <c r="I601" s="184"/>
      <c r="J601" s="184"/>
      <c r="K601" s="184"/>
      <c r="L601" s="184"/>
      <c r="M601" s="449"/>
      <c r="N601" s="449"/>
      <c r="O601" s="449"/>
      <c r="P601" s="449"/>
      <c r="Q601" s="449"/>
      <c r="R601" s="413"/>
    </row>
    <row r="602" spans="1:19" s="450" customFormat="1" ht="14.1" customHeight="1" outlineLevel="2">
      <c r="A602" s="406"/>
      <c r="B602" s="475" t="s">
        <v>441</v>
      </c>
      <c r="C602" s="516"/>
      <c r="D602" s="516"/>
      <c r="E602" s="516"/>
      <c r="F602" s="516">
        <v>211900000</v>
      </c>
      <c r="G602" s="516">
        <f>211900000+211900000</f>
        <v>423800000</v>
      </c>
      <c r="H602" s="516">
        <f>211900000+211900000</f>
        <v>423800000</v>
      </c>
      <c r="I602" s="516">
        <v>211900000</v>
      </c>
      <c r="J602" s="516"/>
      <c r="K602" s="516"/>
      <c r="L602" s="516"/>
      <c r="M602" s="516"/>
      <c r="N602" s="516"/>
      <c r="O602" s="516"/>
      <c r="P602" s="516"/>
      <c r="Q602" s="516"/>
      <c r="R602" s="413"/>
    </row>
    <row r="603" spans="1:19" s="450" customFormat="1" ht="14.1" customHeight="1" outlineLevel="2">
      <c r="A603" s="406"/>
      <c r="B603" s="475" t="s">
        <v>458</v>
      </c>
      <c r="C603" s="516"/>
      <c r="D603" s="516"/>
      <c r="E603" s="516"/>
      <c r="F603" s="516">
        <v>209400000</v>
      </c>
      <c r="G603" s="516">
        <f>209400000+209400000</f>
        <v>418800000</v>
      </c>
      <c r="H603" s="516">
        <f>209400000+209400000</f>
        <v>418800000</v>
      </c>
      <c r="I603" s="516">
        <v>209400000</v>
      </c>
      <c r="J603" s="516"/>
      <c r="K603" s="516"/>
      <c r="L603" s="516"/>
      <c r="M603" s="516"/>
      <c r="N603" s="516"/>
      <c r="O603" s="516"/>
      <c r="P603" s="516"/>
      <c r="Q603" s="516"/>
      <c r="R603" s="413"/>
    </row>
    <row r="604" spans="1:19" s="450" customFormat="1" ht="14.1" customHeight="1" outlineLevel="2">
      <c r="A604" s="406"/>
      <c r="B604" s="475" t="s">
        <v>474</v>
      </c>
      <c r="C604" s="516"/>
      <c r="D604" s="516"/>
      <c r="E604" s="516"/>
      <c r="F604" s="516">
        <v>209400000</v>
      </c>
      <c r="G604" s="516">
        <f>209400000+209400000</f>
        <v>418800000</v>
      </c>
      <c r="H604" s="516">
        <f>209400000+209400000</f>
        <v>418800000</v>
      </c>
      <c r="I604" s="516">
        <v>209400000</v>
      </c>
      <c r="J604" s="516"/>
      <c r="K604" s="516"/>
      <c r="L604" s="516"/>
      <c r="M604" s="516"/>
      <c r="N604" s="516"/>
      <c r="O604" s="516"/>
      <c r="P604" s="516"/>
      <c r="Q604" s="516"/>
      <c r="R604" s="413"/>
    </row>
    <row r="605" spans="1:19" s="450" customFormat="1" ht="14.1" customHeight="1" outlineLevel="2">
      <c r="A605" s="406"/>
      <c r="B605" s="492" t="s">
        <v>485</v>
      </c>
      <c r="C605" s="494"/>
      <c r="D605" s="494"/>
      <c r="E605" s="494"/>
      <c r="F605" s="494"/>
      <c r="G605" s="494">
        <f>221900000+221900000</f>
        <v>443800000</v>
      </c>
      <c r="H605" s="494">
        <f>221900000+221900000</f>
        <v>443800000</v>
      </c>
      <c r="I605" s="494">
        <f>221900000+221900000</f>
        <v>443800000</v>
      </c>
      <c r="J605" s="494"/>
      <c r="K605" s="494"/>
      <c r="L605" s="494"/>
      <c r="M605" s="494"/>
      <c r="N605" s="494"/>
      <c r="O605" s="494"/>
      <c r="P605" s="494"/>
      <c r="Q605" s="494"/>
      <c r="R605" s="413"/>
    </row>
    <row r="606" spans="1:19" s="450" customFormat="1" ht="14.1" customHeight="1" outlineLevel="2">
      <c r="A606" s="406"/>
      <c r="B606" s="475" t="s">
        <v>502</v>
      </c>
      <c r="C606" s="516"/>
      <c r="D606" s="516"/>
      <c r="E606" s="516"/>
      <c r="F606" s="516"/>
      <c r="G606" s="516"/>
      <c r="H606" s="516">
        <v>193200000</v>
      </c>
      <c r="I606" s="516">
        <f>193200000+193200000</f>
        <v>386400000</v>
      </c>
      <c r="J606" s="516">
        <f>193200000+193200000</f>
        <v>386400000</v>
      </c>
      <c r="K606" s="516">
        <v>193200000</v>
      </c>
      <c r="L606" s="516"/>
      <c r="M606" s="516"/>
      <c r="N606" s="516"/>
      <c r="O606" s="516"/>
      <c r="P606" s="516"/>
      <c r="Q606" s="516"/>
      <c r="R606" s="413"/>
    </row>
    <row r="607" spans="1:19" s="450" customFormat="1" ht="14.1" customHeight="1" outlineLevel="2">
      <c r="A607" s="406"/>
      <c r="B607" s="475" t="s">
        <v>519</v>
      </c>
      <c r="C607" s="516"/>
      <c r="D607" s="516"/>
      <c r="E607" s="516"/>
      <c r="F607" s="516"/>
      <c r="G607" s="516"/>
      <c r="H607" s="516">
        <v>199450000</v>
      </c>
      <c r="I607" s="516">
        <f>199450000+199450000</f>
        <v>398900000</v>
      </c>
      <c r="J607" s="516">
        <f>199450000+199450000</f>
        <v>398900000</v>
      </c>
      <c r="K607" s="516">
        <v>199450000</v>
      </c>
      <c r="L607" s="516"/>
      <c r="M607" s="516"/>
      <c r="N607" s="516"/>
      <c r="O607" s="516"/>
      <c r="P607" s="516"/>
      <c r="Q607" s="516"/>
      <c r="R607" s="413"/>
    </row>
    <row r="608" spans="1:19" s="450" customFormat="1" ht="14.1" customHeight="1" outlineLevel="2">
      <c r="A608" s="406"/>
      <c r="B608" s="496" t="s">
        <v>535</v>
      </c>
      <c r="C608" s="494"/>
      <c r="D608" s="494"/>
      <c r="E608" s="494"/>
      <c r="F608" s="494"/>
      <c r="G608" s="494"/>
      <c r="H608" s="494"/>
      <c r="I608" s="494">
        <f>82280000+82280000</f>
        <v>164560000</v>
      </c>
      <c r="J608" s="494">
        <f>82280000+82280000</f>
        <v>164560000</v>
      </c>
      <c r="K608" s="494">
        <f>82280000+82280000</f>
        <v>164560000</v>
      </c>
      <c r="L608" s="494"/>
      <c r="M608" s="494"/>
      <c r="N608" s="494"/>
      <c r="O608" s="494"/>
      <c r="P608" s="494"/>
      <c r="Q608" s="494"/>
      <c r="R608" s="413"/>
    </row>
    <row r="609" spans="1:18" s="450" customFormat="1" ht="14.1" customHeight="1" outlineLevel="2">
      <c r="A609" s="406"/>
      <c r="B609" s="496" t="s">
        <v>552</v>
      </c>
      <c r="C609" s="494"/>
      <c r="D609" s="494"/>
      <c r="E609" s="494"/>
      <c r="F609" s="494"/>
      <c r="G609" s="494"/>
      <c r="H609" s="494"/>
      <c r="I609" s="494">
        <f>61710000+61710000</f>
        <v>123420000</v>
      </c>
      <c r="J609" s="494">
        <f>61710000+61710000</f>
        <v>123420000</v>
      </c>
      <c r="K609" s="494">
        <f>61710000+61710000</f>
        <v>123420000</v>
      </c>
      <c r="L609" s="494"/>
      <c r="M609" s="494"/>
      <c r="N609" s="494"/>
      <c r="O609" s="494"/>
      <c r="P609" s="494"/>
      <c r="Q609" s="494"/>
      <c r="R609" s="413"/>
    </row>
    <row r="610" spans="1:18" s="450" customFormat="1" ht="14.1" customHeight="1" outlineLevel="2">
      <c r="A610" s="406"/>
      <c r="B610" s="496" t="s">
        <v>558</v>
      </c>
      <c r="C610" s="494"/>
      <c r="D610" s="494"/>
      <c r="E610" s="494"/>
      <c r="F610" s="494"/>
      <c r="G610" s="494"/>
      <c r="H610" s="494"/>
      <c r="I610" s="494">
        <f t="shared" ref="I610:K611" si="84">41140000+41140000</f>
        <v>82280000</v>
      </c>
      <c r="J610" s="494">
        <f t="shared" si="84"/>
        <v>82280000</v>
      </c>
      <c r="K610" s="494">
        <f t="shared" si="84"/>
        <v>82280000</v>
      </c>
      <c r="L610" s="494"/>
      <c r="M610" s="494"/>
      <c r="N610" s="494"/>
      <c r="O610" s="494"/>
      <c r="P610" s="494"/>
      <c r="Q610" s="494"/>
      <c r="R610" s="413"/>
    </row>
    <row r="611" spans="1:18" s="290" customFormat="1" ht="14.1" customHeight="1" outlineLevel="2">
      <c r="A611" s="406"/>
      <c r="B611" s="496" t="s">
        <v>564</v>
      </c>
      <c r="C611" s="494"/>
      <c r="D611" s="494"/>
      <c r="E611" s="494"/>
      <c r="F611" s="494"/>
      <c r="G611" s="494"/>
      <c r="H611" s="494"/>
      <c r="I611" s="494">
        <f t="shared" si="84"/>
        <v>82280000</v>
      </c>
      <c r="J611" s="494">
        <f t="shared" si="84"/>
        <v>82280000</v>
      </c>
      <c r="K611" s="494">
        <f t="shared" si="84"/>
        <v>82280000</v>
      </c>
      <c r="L611" s="494"/>
      <c r="M611" s="494"/>
      <c r="N611" s="494"/>
      <c r="O611" s="494"/>
      <c r="P611" s="494"/>
      <c r="Q611" s="494"/>
      <c r="R611" s="413"/>
    </row>
    <row r="612" spans="1:18" s="148" customFormat="1" ht="16.350000000000001" customHeight="1" outlineLevel="1">
      <c r="A612" s="446"/>
      <c r="B612" s="232" t="s">
        <v>569</v>
      </c>
      <c r="C612" s="233">
        <f>SUM(C593:C611)</f>
        <v>0</v>
      </c>
      <c r="D612" s="233">
        <f>SUM(D593:D611)</f>
        <v>1087000000</v>
      </c>
      <c r="E612" s="233">
        <f>SUM(E593:E611)</f>
        <v>4313100000</v>
      </c>
      <c r="F612" s="233">
        <f t="shared" ref="F612:P612" si="85">SUM(F593:F611)</f>
        <v>6246500000</v>
      </c>
      <c r="G612" s="233">
        <f t="shared" si="85"/>
        <v>2308500000</v>
      </c>
      <c r="H612" s="233">
        <f t="shared" si="85"/>
        <v>2097850000</v>
      </c>
      <c r="I612" s="233">
        <f t="shared" si="85"/>
        <v>2312340000</v>
      </c>
      <c r="J612" s="233">
        <f t="shared" si="85"/>
        <v>1237840000</v>
      </c>
      <c r="K612" s="233">
        <f t="shared" si="85"/>
        <v>845190000</v>
      </c>
      <c r="L612" s="233">
        <f t="shared" si="85"/>
        <v>0</v>
      </c>
      <c r="M612" s="233">
        <f t="shared" si="85"/>
        <v>0</v>
      </c>
      <c r="N612" s="233">
        <f t="shared" si="85"/>
        <v>0</v>
      </c>
      <c r="O612" s="233">
        <f t="shared" si="85"/>
        <v>0</v>
      </c>
      <c r="P612" s="233">
        <f t="shared" si="85"/>
        <v>0</v>
      </c>
      <c r="Q612" s="233">
        <f>SUM(Q593:Q611)</f>
        <v>0</v>
      </c>
      <c r="R612" s="458"/>
    </row>
    <row r="613" spans="1:18" s="290" customFormat="1" ht="14.1" customHeight="1" outlineLevel="1">
      <c r="A613" s="406"/>
      <c r="B613" s="517"/>
      <c r="C613" s="518"/>
      <c r="D613" s="518"/>
      <c r="E613" s="518"/>
      <c r="F613" s="518"/>
      <c r="G613" s="518"/>
      <c r="H613" s="518"/>
      <c r="I613" s="518"/>
      <c r="J613" s="518"/>
      <c r="K613" s="518"/>
      <c r="L613" s="518"/>
      <c r="M613" s="518"/>
      <c r="N613" s="518"/>
      <c r="O613" s="518"/>
      <c r="P613" s="518"/>
      <c r="Q613" s="518"/>
      <c r="R613" s="413"/>
    </row>
    <row r="614" spans="1:18" s="410" customFormat="1" ht="14.1" customHeight="1" outlineLevel="1">
      <c r="A614" s="519"/>
      <c r="B614" s="520" t="s">
        <v>570</v>
      </c>
      <c r="C614" s="521"/>
      <c r="D614" s="521"/>
      <c r="E614" s="521"/>
      <c r="F614" s="521">
        <v>0.1091</v>
      </c>
      <c r="G614" s="521">
        <v>0.1182</v>
      </c>
      <c r="H614" s="521">
        <v>9.0700000000000003E-2</v>
      </c>
      <c r="I614" s="521">
        <v>8.43E-2</v>
      </c>
      <c r="J614" s="521">
        <v>8.2199999999999995E-2</v>
      </c>
      <c r="K614" s="521">
        <v>7.6100000000000001E-2</v>
      </c>
      <c r="L614" s="521"/>
      <c r="M614" s="521"/>
      <c r="N614" s="521"/>
      <c r="O614" s="521"/>
      <c r="P614" s="521"/>
      <c r="Q614" s="521"/>
      <c r="R614" s="522"/>
    </row>
    <row r="615" spans="1:18" s="290" customFormat="1" ht="14.1" customHeight="1" outlineLevel="1">
      <c r="A615" s="406"/>
      <c r="B615" s="509"/>
      <c r="C615" s="518"/>
      <c r="D615" s="518"/>
      <c r="E615" s="518"/>
      <c r="F615" s="518"/>
      <c r="G615" s="518"/>
      <c r="H615" s="518"/>
      <c r="I615" s="518"/>
      <c r="J615" s="518"/>
      <c r="K615" s="518"/>
      <c r="L615" s="518"/>
      <c r="M615" s="518"/>
      <c r="N615" s="518"/>
      <c r="O615" s="518"/>
      <c r="P615" s="518"/>
      <c r="Q615" s="518"/>
      <c r="R615" s="413"/>
    </row>
    <row r="616" spans="1:18" s="142" customFormat="1" ht="16.350000000000001" customHeight="1">
      <c r="A616" s="1558" t="s">
        <v>571</v>
      </c>
      <c r="B616" s="1559"/>
      <c r="C616" s="523"/>
      <c r="D616" s="523"/>
      <c r="E616" s="523"/>
      <c r="F616" s="523"/>
      <c r="G616" s="523"/>
      <c r="H616" s="524"/>
      <c r="I616" s="524"/>
      <c r="J616" s="524"/>
      <c r="K616" s="524"/>
      <c r="L616" s="524"/>
      <c r="M616" s="524"/>
      <c r="N616" s="524"/>
      <c r="O616" s="524"/>
      <c r="P616" s="524"/>
      <c r="Q616" s="524"/>
      <c r="R616" s="525"/>
    </row>
    <row r="617" spans="1:18" s="450" customFormat="1" ht="14.1" customHeight="1" outlineLevel="1" collapsed="1">
      <c r="A617" s="526"/>
      <c r="B617" s="527" t="s">
        <v>572</v>
      </c>
      <c r="C617" s="528"/>
      <c r="D617" s="528">
        <v>1</v>
      </c>
      <c r="E617" s="528">
        <v>1</v>
      </c>
      <c r="F617" s="528">
        <v>1</v>
      </c>
      <c r="G617" s="528">
        <v>1</v>
      </c>
      <c r="H617" s="528">
        <v>1</v>
      </c>
      <c r="I617" s="528">
        <v>1</v>
      </c>
      <c r="J617" s="528">
        <v>1</v>
      </c>
      <c r="K617" s="528">
        <v>1</v>
      </c>
      <c r="L617" s="528">
        <v>1</v>
      </c>
      <c r="M617" s="528">
        <v>1</v>
      </c>
      <c r="N617" s="528">
        <v>1</v>
      </c>
      <c r="O617" s="528">
        <v>1</v>
      </c>
      <c r="P617" s="528">
        <v>1</v>
      </c>
      <c r="Q617" s="528"/>
      <c r="R617" s="529"/>
    </row>
    <row r="618" spans="1:18" s="450" customFormat="1" ht="14.1" customHeight="1" outlineLevel="1" collapsed="1">
      <c r="A618" s="526"/>
      <c r="B618" s="527" t="s">
        <v>573</v>
      </c>
      <c r="C618" s="528"/>
      <c r="D618" s="528">
        <v>1</v>
      </c>
      <c r="E618" s="528">
        <v>1</v>
      </c>
      <c r="F618" s="528">
        <v>1</v>
      </c>
      <c r="G618" s="528">
        <v>1</v>
      </c>
      <c r="H618" s="528">
        <v>1</v>
      </c>
      <c r="I618" s="528">
        <v>1</v>
      </c>
      <c r="J618" s="528">
        <v>1</v>
      </c>
      <c r="K618" s="528">
        <v>1</v>
      </c>
      <c r="L618" s="528"/>
      <c r="M618" s="528"/>
      <c r="N618" s="528"/>
      <c r="O618" s="528"/>
      <c r="P618" s="528"/>
      <c r="Q618" s="528"/>
      <c r="R618" s="530"/>
    </row>
    <row r="619" spans="1:18" s="450" customFormat="1" ht="14.1" customHeight="1" outlineLevel="1" collapsed="1">
      <c r="A619" s="526"/>
      <c r="B619" s="527" t="s">
        <v>574</v>
      </c>
      <c r="C619" s="528"/>
      <c r="D619" s="528">
        <v>1</v>
      </c>
      <c r="E619" s="528">
        <v>1</v>
      </c>
      <c r="F619" s="528">
        <v>1</v>
      </c>
      <c r="G619" s="528">
        <v>1</v>
      </c>
      <c r="H619" s="528">
        <v>1</v>
      </c>
      <c r="I619" s="528">
        <v>1</v>
      </c>
      <c r="J619" s="528">
        <v>1</v>
      </c>
      <c r="K619" s="528">
        <v>1</v>
      </c>
      <c r="L619" s="528">
        <v>1</v>
      </c>
      <c r="M619" s="528">
        <v>1</v>
      </c>
      <c r="N619" s="528">
        <v>1</v>
      </c>
      <c r="O619" s="528">
        <v>1</v>
      </c>
      <c r="P619" s="528">
        <v>1</v>
      </c>
      <c r="Q619" s="528"/>
      <c r="R619" s="530"/>
    </row>
    <row r="620" spans="1:18" s="450" customFormat="1" ht="14.1" customHeight="1" outlineLevel="1">
      <c r="A620" s="526"/>
      <c r="B620" s="527" t="s">
        <v>575</v>
      </c>
      <c r="C620" s="528"/>
      <c r="D620" s="528">
        <v>1</v>
      </c>
      <c r="E620" s="528">
        <v>1</v>
      </c>
      <c r="F620" s="528">
        <v>1</v>
      </c>
      <c r="G620" s="528">
        <v>1</v>
      </c>
      <c r="H620" s="528"/>
      <c r="I620" s="528"/>
      <c r="J620" s="528"/>
      <c r="K620" s="528"/>
      <c r="L620" s="528"/>
      <c r="M620" s="528"/>
      <c r="N620" s="528"/>
      <c r="O620" s="528"/>
      <c r="P620" s="528"/>
      <c r="Q620" s="528"/>
      <c r="R620" s="530"/>
    </row>
    <row r="621" spans="1:18" s="450" customFormat="1" ht="14.1" customHeight="1" outlineLevel="1" collapsed="1">
      <c r="A621" s="526"/>
      <c r="B621" s="527" t="s">
        <v>576</v>
      </c>
      <c r="C621" s="528"/>
      <c r="D621" s="528">
        <v>1</v>
      </c>
      <c r="E621" s="528">
        <v>1</v>
      </c>
      <c r="F621" s="528">
        <v>1</v>
      </c>
      <c r="G621" s="528">
        <v>1</v>
      </c>
      <c r="H621" s="528">
        <v>1</v>
      </c>
      <c r="I621" s="528">
        <v>1</v>
      </c>
      <c r="J621" s="528">
        <v>1</v>
      </c>
      <c r="K621" s="528">
        <v>1</v>
      </c>
      <c r="L621" s="528">
        <v>1</v>
      </c>
      <c r="M621" s="528">
        <v>1</v>
      </c>
      <c r="N621" s="528">
        <v>1</v>
      </c>
      <c r="O621" s="528">
        <v>1</v>
      </c>
      <c r="P621" s="528">
        <v>1</v>
      </c>
      <c r="Q621" s="528"/>
      <c r="R621" s="530"/>
    </row>
    <row r="622" spans="1:18" s="450" customFormat="1" ht="14.1" customHeight="1" outlineLevel="1" collapsed="1">
      <c r="A622" s="526"/>
      <c r="B622" s="527" t="s">
        <v>577</v>
      </c>
      <c r="C622" s="528"/>
      <c r="D622" s="528">
        <v>1</v>
      </c>
      <c r="E622" s="528">
        <v>1</v>
      </c>
      <c r="F622" s="528">
        <v>1</v>
      </c>
      <c r="G622" s="528">
        <v>1</v>
      </c>
      <c r="H622" s="528">
        <v>1</v>
      </c>
      <c r="I622" s="528">
        <v>1</v>
      </c>
      <c r="J622" s="528">
        <v>1</v>
      </c>
      <c r="K622" s="528">
        <v>1</v>
      </c>
      <c r="L622" s="528">
        <v>1</v>
      </c>
      <c r="M622" s="528"/>
      <c r="N622" s="528"/>
      <c r="O622" s="528"/>
      <c r="P622" s="528"/>
      <c r="Q622" s="528"/>
      <c r="R622" s="530"/>
    </row>
    <row r="623" spans="1:18" s="450" customFormat="1" ht="14.1" customHeight="1" outlineLevel="1" collapsed="1">
      <c r="A623" s="526"/>
      <c r="B623" s="527" t="s">
        <v>578</v>
      </c>
      <c r="C623" s="528"/>
      <c r="D623" s="528">
        <v>1</v>
      </c>
      <c r="E623" s="528">
        <v>1</v>
      </c>
      <c r="F623" s="528">
        <v>1</v>
      </c>
      <c r="G623" s="528">
        <v>1</v>
      </c>
      <c r="H623" s="528">
        <v>1</v>
      </c>
      <c r="I623" s="528">
        <v>1</v>
      </c>
      <c r="J623" s="528">
        <v>1</v>
      </c>
      <c r="K623" s="528">
        <v>1</v>
      </c>
      <c r="L623" s="528">
        <v>1</v>
      </c>
      <c r="M623" s="528">
        <v>1</v>
      </c>
      <c r="N623" s="528">
        <v>1</v>
      </c>
      <c r="O623" s="528">
        <v>0.51</v>
      </c>
      <c r="P623" s="528">
        <v>0.51</v>
      </c>
      <c r="Q623" s="528"/>
      <c r="R623" s="530"/>
    </row>
    <row r="624" spans="1:18" s="450" customFormat="1" ht="14.1" customHeight="1" outlineLevel="1" collapsed="1">
      <c r="A624" s="526"/>
      <c r="B624" s="527" t="s">
        <v>579</v>
      </c>
      <c r="C624" s="528"/>
      <c r="D624" s="528">
        <v>1</v>
      </c>
      <c r="E624" s="528">
        <v>1</v>
      </c>
      <c r="F624" s="528">
        <v>1</v>
      </c>
      <c r="G624" s="528">
        <v>1</v>
      </c>
      <c r="H624" s="528">
        <v>1</v>
      </c>
      <c r="I624" s="528">
        <v>1</v>
      </c>
      <c r="J624" s="528">
        <v>1</v>
      </c>
      <c r="K624" s="528">
        <v>1</v>
      </c>
      <c r="L624" s="528">
        <v>1</v>
      </c>
      <c r="M624" s="528">
        <v>1</v>
      </c>
      <c r="N624" s="528">
        <v>1</v>
      </c>
      <c r="O624" s="528">
        <v>1</v>
      </c>
      <c r="P624" s="528">
        <v>1</v>
      </c>
      <c r="Q624" s="528"/>
      <c r="R624" s="530"/>
    </row>
    <row r="625" spans="1:18" s="450" customFormat="1" ht="14.1" customHeight="1" outlineLevel="1" collapsed="1">
      <c r="A625" s="526"/>
      <c r="B625" s="527" t="s">
        <v>580</v>
      </c>
      <c r="C625" s="528"/>
      <c r="D625" s="528">
        <v>1</v>
      </c>
      <c r="E625" s="528">
        <v>1</v>
      </c>
      <c r="F625" s="528">
        <v>1</v>
      </c>
      <c r="G625" s="528">
        <v>1</v>
      </c>
      <c r="H625" s="528">
        <v>1</v>
      </c>
      <c r="I625" s="528">
        <v>1</v>
      </c>
      <c r="J625" s="528">
        <v>1</v>
      </c>
      <c r="K625" s="528"/>
      <c r="L625" s="528"/>
      <c r="M625" s="528"/>
      <c r="N625" s="528"/>
      <c r="O625" s="528"/>
      <c r="P625" s="528"/>
      <c r="Q625" s="528"/>
      <c r="R625" s="530"/>
    </row>
    <row r="626" spans="1:18" s="450" customFormat="1" ht="14.1" customHeight="1" outlineLevel="1" collapsed="1">
      <c r="A626" s="526"/>
      <c r="B626" s="527" t="s">
        <v>581</v>
      </c>
      <c r="C626" s="528"/>
      <c r="D626" s="528">
        <v>1</v>
      </c>
      <c r="E626" s="528">
        <v>1</v>
      </c>
      <c r="F626" s="528">
        <v>1</v>
      </c>
      <c r="G626" s="528">
        <v>1</v>
      </c>
      <c r="H626" s="528">
        <v>1</v>
      </c>
      <c r="I626" s="528">
        <v>1</v>
      </c>
      <c r="J626" s="528"/>
      <c r="K626" s="528"/>
      <c r="L626" s="528"/>
      <c r="M626" s="528"/>
      <c r="N626" s="528"/>
      <c r="O626" s="528"/>
      <c r="P626" s="528"/>
      <c r="Q626" s="528"/>
      <c r="R626" s="530"/>
    </row>
    <row r="627" spans="1:18" s="450" customFormat="1" ht="14.1" customHeight="1" outlineLevel="1" collapsed="1">
      <c r="A627" s="526"/>
      <c r="B627" s="527" t="s">
        <v>582</v>
      </c>
      <c r="C627" s="528"/>
      <c r="D627" s="528">
        <v>1</v>
      </c>
      <c r="E627" s="528">
        <v>1</v>
      </c>
      <c r="F627" s="528">
        <v>1</v>
      </c>
      <c r="G627" s="528">
        <v>1</v>
      </c>
      <c r="H627" s="528">
        <v>1</v>
      </c>
      <c r="I627" s="528"/>
      <c r="J627" s="528"/>
      <c r="K627" s="528"/>
      <c r="L627" s="528"/>
      <c r="M627" s="528"/>
      <c r="N627" s="528"/>
      <c r="O627" s="528"/>
      <c r="P627" s="528"/>
      <c r="Q627" s="528"/>
      <c r="R627" s="530"/>
    </row>
    <row r="628" spans="1:18" s="450" customFormat="1" ht="14.1" customHeight="1" outlineLevel="1" collapsed="1">
      <c r="A628" s="526"/>
      <c r="B628" s="527" t="s">
        <v>583</v>
      </c>
      <c r="C628" s="528"/>
      <c r="D628" s="528">
        <v>1</v>
      </c>
      <c r="E628" s="528">
        <v>1</v>
      </c>
      <c r="F628" s="528">
        <v>1</v>
      </c>
      <c r="G628" s="528">
        <v>1</v>
      </c>
      <c r="H628" s="528">
        <v>1</v>
      </c>
      <c r="I628" s="528">
        <v>1</v>
      </c>
      <c r="J628" s="528"/>
      <c r="K628" s="528"/>
      <c r="L628" s="528"/>
      <c r="M628" s="528"/>
      <c r="N628" s="528"/>
      <c r="O628" s="528"/>
      <c r="P628" s="528"/>
      <c r="Q628" s="528"/>
      <c r="R628" s="530"/>
    </row>
    <row r="629" spans="1:18" s="450" customFormat="1" ht="14.1" customHeight="1" outlineLevel="1" collapsed="1">
      <c r="A629" s="526"/>
      <c r="B629" s="527" t="s">
        <v>584</v>
      </c>
      <c r="C629" s="528"/>
      <c r="D629" s="528">
        <v>1</v>
      </c>
      <c r="E629" s="528">
        <v>1</v>
      </c>
      <c r="F629" s="528">
        <v>1</v>
      </c>
      <c r="G629" s="528">
        <v>1</v>
      </c>
      <c r="H629" s="528">
        <v>1</v>
      </c>
      <c r="I629" s="528">
        <v>1</v>
      </c>
      <c r="J629" s="528">
        <v>1</v>
      </c>
      <c r="K629" s="528"/>
      <c r="L629" s="528"/>
      <c r="M629" s="528"/>
      <c r="N629" s="528"/>
      <c r="O629" s="528"/>
      <c r="P629" s="528"/>
      <c r="Q629" s="528"/>
      <c r="R629" s="530"/>
    </row>
    <row r="630" spans="1:18" s="450" customFormat="1" ht="14.1" customHeight="1" outlineLevel="1">
      <c r="A630" s="526"/>
      <c r="B630" s="527" t="s">
        <v>585</v>
      </c>
      <c r="C630" s="528"/>
      <c r="D630" s="528">
        <v>1</v>
      </c>
      <c r="E630" s="528">
        <v>1</v>
      </c>
      <c r="F630" s="528">
        <v>1</v>
      </c>
      <c r="G630" s="528"/>
      <c r="H630" s="528"/>
      <c r="I630" s="528"/>
      <c r="J630" s="528"/>
      <c r="K630" s="528"/>
      <c r="L630" s="528"/>
      <c r="M630" s="528"/>
      <c r="N630" s="528"/>
      <c r="O630" s="528"/>
      <c r="P630" s="528"/>
      <c r="Q630" s="528"/>
      <c r="R630" s="530"/>
    </row>
    <row r="631" spans="1:18" s="450" customFormat="1" ht="14.1" customHeight="1" outlineLevel="1">
      <c r="A631" s="526"/>
      <c r="B631" s="527" t="s">
        <v>586</v>
      </c>
      <c r="C631" s="528"/>
      <c r="D631" s="528">
        <v>1</v>
      </c>
      <c r="E631" s="528">
        <v>1</v>
      </c>
      <c r="F631" s="528">
        <v>1</v>
      </c>
      <c r="G631" s="528"/>
      <c r="H631" s="528"/>
      <c r="I631" s="528"/>
      <c r="J631" s="528"/>
      <c r="K631" s="528"/>
      <c r="L631" s="528"/>
      <c r="M631" s="528"/>
      <c r="N631" s="528"/>
      <c r="O631" s="528"/>
      <c r="P631" s="528"/>
      <c r="Q631" s="528"/>
      <c r="R631" s="530"/>
    </row>
    <row r="632" spans="1:18" s="450" customFormat="1" ht="14.1" customHeight="1" outlineLevel="1">
      <c r="A632" s="526"/>
      <c r="B632" s="527" t="s">
        <v>587</v>
      </c>
      <c r="C632" s="528"/>
      <c r="D632" s="528">
        <v>1</v>
      </c>
      <c r="E632" s="528">
        <v>1</v>
      </c>
      <c r="F632" s="528">
        <v>1</v>
      </c>
      <c r="G632" s="528"/>
      <c r="H632" s="528"/>
      <c r="I632" s="528"/>
      <c r="J632" s="528"/>
      <c r="K632" s="528"/>
      <c r="L632" s="528"/>
      <c r="M632" s="528"/>
      <c r="N632" s="528"/>
      <c r="O632" s="528"/>
      <c r="P632" s="528"/>
      <c r="Q632" s="528"/>
      <c r="R632" s="530"/>
    </row>
    <row r="633" spans="1:18" s="450" customFormat="1" ht="14.1" customHeight="1" outlineLevel="1">
      <c r="A633" s="526"/>
      <c r="B633" s="527" t="s">
        <v>588</v>
      </c>
      <c r="C633" s="528"/>
      <c r="D633" s="528">
        <v>1</v>
      </c>
      <c r="E633" s="528">
        <v>1</v>
      </c>
      <c r="F633" s="528"/>
      <c r="G633" s="528"/>
      <c r="H633" s="528"/>
      <c r="I633" s="528"/>
      <c r="J633" s="528"/>
      <c r="K633" s="528"/>
      <c r="L633" s="528"/>
      <c r="M633" s="528"/>
      <c r="N633" s="528"/>
      <c r="O633" s="528"/>
      <c r="P633" s="528"/>
      <c r="Q633" s="528"/>
      <c r="R633" s="530"/>
    </row>
    <row r="634" spans="1:18" s="450" customFormat="1" ht="14.1" customHeight="1" outlineLevel="1">
      <c r="A634" s="526"/>
      <c r="B634" s="527" t="s">
        <v>589</v>
      </c>
      <c r="C634" s="528"/>
      <c r="D634" s="528">
        <v>1</v>
      </c>
      <c r="E634" s="528">
        <v>1</v>
      </c>
      <c r="F634" s="528"/>
      <c r="G634" s="528"/>
      <c r="H634" s="528"/>
      <c r="I634" s="528"/>
      <c r="J634" s="528"/>
      <c r="K634" s="528"/>
      <c r="L634" s="528"/>
      <c r="M634" s="528"/>
      <c r="N634" s="528"/>
      <c r="O634" s="528"/>
      <c r="P634" s="528"/>
      <c r="Q634" s="528"/>
      <c r="R634" s="530"/>
    </row>
    <row r="635" spans="1:18" s="450" customFormat="1" ht="14.1" customHeight="1" outlineLevel="1">
      <c r="A635" s="526"/>
      <c r="B635" s="527" t="s">
        <v>590</v>
      </c>
      <c r="C635" s="528"/>
      <c r="D635" s="528">
        <v>1</v>
      </c>
      <c r="E635" s="528">
        <v>1</v>
      </c>
      <c r="F635" s="528"/>
      <c r="G635" s="528"/>
      <c r="H635" s="528"/>
      <c r="I635" s="528"/>
      <c r="J635" s="528"/>
      <c r="K635" s="528"/>
      <c r="L635" s="528"/>
      <c r="M635" s="528"/>
      <c r="N635" s="528"/>
      <c r="O635" s="528"/>
      <c r="P635" s="528"/>
      <c r="Q635" s="528"/>
      <c r="R635" s="530"/>
    </row>
    <row r="636" spans="1:18" s="450" customFormat="1" ht="14.1" customHeight="1" outlineLevel="1">
      <c r="A636" s="526"/>
      <c r="B636" s="527" t="s">
        <v>591</v>
      </c>
      <c r="C636" s="528"/>
      <c r="D636" s="528">
        <v>1</v>
      </c>
      <c r="E636" s="528"/>
      <c r="F636" s="528"/>
      <c r="G636" s="528"/>
      <c r="H636" s="528"/>
      <c r="I636" s="528"/>
      <c r="J636" s="528"/>
      <c r="K636" s="528"/>
      <c r="L636" s="528"/>
      <c r="M636" s="528"/>
      <c r="N636" s="528"/>
      <c r="O636" s="528"/>
      <c r="P636" s="528"/>
      <c r="Q636" s="528"/>
      <c r="R636" s="530"/>
    </row>
    <row r="637" spans="1:18" s="450" customFormat="1" ht="14.1" customHeight="1" outlineLevel="1">
      <c r="A637" s="526"/>
      <c r="B637" s="527" t="s">
        <v>592</v>
      </c>
      <c r="C637" s="528"/>
      <c r="D637" s="528">
        <v>1</v>
      </c>
      <c r="E637" s="528"/>
      <c r="F637" s="528"/>
      <c r="G637" s="528"/>
      <c r="H637" s="528"/>
      <c r="I637" s="528"/>
      <c r="J637" s="528"/>
      <c r="K637" s="528"/>
      <c r="L637" s="528"/>
      <c r="M637" s="528"/>
      <c r="N637" s="528"/>
      <c r="O637" s="528"/>
      <c r="P637" s="528"/>
      <c r="Q637" s="528"/>
      <c r="R637" s="530"/>
    </row>
    <row r="638" spans="1:18" s="450" customFormat="1" ht="14.1" customHeight="1" outlineLevel="1">
      <c r="A638" s="526"/>
      <c r="B638" s="527" t="s">
        <v>593</v>
      </c>
      <c r="C638" s="528"/>
      <c r="D638" s="528">
        <v>1</v>
      </c>
      <c r="E638" s="528"/>
      <c r="F638" s="528"/>
      <c r="G638" s="528"/>
      <c r="H638" s="528"/>
      <c r="I638" s="528"/>
      <c r="J638" s="528"/>
      <c r="K638" s="528"/>
      <c r="L638" s="528"/>
      <c r="M638" s="528"/>
      <c r="N638" s="528"/>
      <c r="O638" s="528"/>
      <c r="P638" s="528"/>
      <c r="Q638" s="528"/>
      <c r="R638" s="530"/>
    </row>
    <row r="639" spans="1:18" s="450" customFormat="1" ht="14.1" customHeight="1" outlineLevel="1">
      <c r="A639" s="526"/>
      <c r="B639" s="527" t="s">
        <v>594</v>
      </c>
      <c r="C639" s="528"/>
      <c r="D639" s="528">
        <v>1</v>
      </c>
      <c r="E639" s="528"/>
      <c r="F639" s="528"/>
      <c r="G639" s="528"/>
      <c r="H639" s="528"/>
      <c r="I639" s="528"/>
      <c r="J639" s="528"/>
      <c r="K639" s="528"/>
      <c r="L639" s="528"/>
      <c r="M639" s="528"/>
      <c r="N639" s="528"/>
      <c r="O639" s="528"/>
      <c r="P639" s="528"/>
      <c r="Q639" s="528"/>
      <c r="R639" s="530"/>
    </row>
    <row r="640" spans="1:18" s="450" customFormat="1" ht="14.1" customHeight="1" outlineLevel="1">
      <c r="A640" s="526"/>
      <c r="B640" s="527" t="s">
        <v>595</v>
      </c>
      <c r="C640" s="528"/>
      <c r="D640" s="528">
        <v>1</v>
      </c>
      <c r="E640" s="528"/>
      <c r="F640" s="528"/>
      <c r="G640" s="528"/>
      <c r="H640" s="528"/>
      <c r="I640" s="528"/>
      <c r="J640" s="528"/>
      <c r="K640" s="528"/>
      <c r="L640" s="528"/>
      <c r="M640" s="528"/>
      <c r="N640" s="528"/>
      <c r="O640" s="528"/>
      <c r="P640" s="528"/>
      <c r="Q640" s="528"/>
      <c r="R640" s="530"/>
    </row>
    <row r="641" spans="1:18" s="450" customFormat="1" ht="14.1" customHeight="1" outlineLevel="1">
      <c r="A641" s="526"/>
      <c r="B641" s="527" t="s">
        <v>596</v>
      </c>
      <c r="C641" s="528"/>
      <c r="D641" s="528">
        <v>1</v>
      </c>
      <c r="E641" s="528"/>
      <c r="F641" s="528"/>
      <c r="G641" s="528"/>
      <c r="H641" s="528"/>
      <c r="I641" s="528"/>
      <c r="J641" s="528"/>
      <c r="K641" s="528"/>
      <c r="L641" s="528"/>
      <c r="M641" s="528"/>
      <c r="N641" s="528"/>
      <c r="O641" s="528"/>
      <c r="P641" s="528"/>
      <c r="Q641" s="528"/>
      <c r="R641" s="530"/>
    </row>
    <row r="642" spans="1:18" s="450" customFormat="1" ht="14.1" customHeight="1" outlineLevel="1">
      <c r="A642" s="526"/>
      <c r="B642" s="527" t="s">
        <v>597</v>
      </c>
      <c r="C642" s="528"/>
      <c r="D642" s="528">
        <v>0.8</v>
      </c>
      <c r="E642" s="528"/>
      <c r="F642" s="528"/>
      <c r="G642" s="528"/>
      <c r="H642" s="528"/>
      <c r="I642" s="528"/>
      <c r="J642" s="528"/>
      <c r="K642" s="528"/>
      <c r="L642" s="528"/>
      <c r="M642" s="528"/>
      <c r="N642" s="528"/>
      <c r="O642" s="528"/>
      <c r="P642" s="528"/>
      <c r="Q642" s="528"/>
      <c r="R642" s="530"/>
    </row>
    <row r="643" spans="1:18" s="450" customFormat="1" ht="14.1" customHeight="1" outlineLevel="1">
      <c r="A643" s="526"/>
      <c r="B643" s="527" t="s">
        <v>598</v>
      </c>
      <c r="C643" s="528"/>
      <c r="D643" s="528">
        <v>1</v>
      </c>
      <c r="E643" s="528"/>
      <c r="F643" s="528"/>
      <c r="G643" s="528"/>
      <c r="H643" s="528"/>
      <c r="I643" s="528"/>
      <c r="J643" s="528"/>
      <c r="K643" s="528"/>
      <c r="L643" s="528"/>
      <c r="M643" s="528"/>
      <c r="N643" s="528"/>
      <c r="O643" s="528"/>
      <c r="P643" s="528"/>
      <c r="Q643" s="528"/>
      <c r="R643" s="530"/>
    </row>
    <row r="644" spans="1:18" s="450" customFormat="1" ht="14.1" customHeight="1" outlineLevel="1">
      <c r="A644" s="526"/>
      <c r="B644" s="527" t="s">
        <v>599</v>
      </c>
      <c r="C644" s="528"/>
      <c r="D644" s="528">
        <v>1</v>
      </c>
      <c r="E644" s="528"/>
      <c r="F644" s="528"/>
      <c r="G644" s="528"/>
      <c r="H644" s="528"/>
      <c r="I644" s="528"/>
      <c r="J644" s="528"/>
      <c r="K644" s="528"/>
      <c r="L644" s="528"/>
      <c r="M644" s="528"/>
      <c r="N644" s="528"/>
      <c r="O644" s="528"/>
      <c r="P644" s="528"/>
      <c r="Q644" s="528"/>
      <c r="R644" s="530"/>
    </row>
    <row r="645" spans="1:18" s="450" customFormat="1" ht="14.1" customHeight="1" outlineLevel="1">
      <c r="A645" s="526"/>
      <c r="B645" s="527" t="s">
        <v>600</v>
      </c>
      <c r="C645" s="528"/>
      <c r="D645" s="528">
        <v>1</v>
      </c>
      <c r="E645" s="528"/>
      <c r="F645" s="528"/>
      <c r="G645" s="528"/>
      <c r="H645" s="528"/>
      <c r="I645" s="528"/>
      <c r="J645" s="528"/>
      <c r="K645" s="528"/>
      <c r="L645" s="528"/>
      <c r="M645" s="528"/>
      <c r="N645" s="528"/>
      <c r="O645" s="528"/>
      <c r="P645" s="528"/>
      <c r="Q645" s="528"/>
      <c r="R645" s="530"/>
    </row>
    <row r="646" spans="1:18" s="450" customFormat="1" ht="14.1" customHeight="1" outlineLevel="1">
      <c r="A646" s="526"/>
      <c r="B646" s="527" t="s">
        <v>601</v>
      </c>
      <c r="C646" s="528"/>
      <c r="D646" s="528">
        <v>1</v>
      </c>
      <c r="E646" s="528"/>
      <c r="F646" s="528"/>
      <c r="G646" s="528"/>
      <c r="H646" s="528"/>
      <c r="I646" s="528"/>
      <c r="J646" s="528"/>
      <c r="K646" s="528"/>
      <c r="L646" s="528"/>
      <c r="M646" s="528"/>
      <c r="N646" s="528"/>
      <c r="O646" s="528"/>
      <c r="P646" s="528"/>
      <c r="Q646" s="528"/>
      <c r="R646" s="530"/>
    </row>
    <row r="647" spans="1:18" s="450" customFormat="1" ht="14.1" customHeight="1" outlineLevel="1">
      <c r="A647" s="526"/>
      <c r="B647" s="527" t="s">
        <v>602</v>
      </c>
      <c r="C647" s="528"/>
      <c r="D647" s="528">
        <v>1</v>
      </c>
      <c r="E647" s="528"/>
      <c r="F647" s="528"/>
      <c r="G647" s="528"/>
      <c r="H647" s="528"/>
      <c r="I647" s="528"/>
      <c r="J647" s="528"/>
      <c r="K647" s="528"/>
      <c r="L647" s="528"/>
      <c r="M647" s="528"/>
      <c r="N647" s="528"/>
      <c r="O647" s="528"/>
      <c r="P647" s="528"/>
      <c r="Q647" s="528"/>
      <c r="R647" s="530"/>
    </row>
    <row r="648" spans="1:18" s="450" customFormat="1" ht="14.1" customHeight="1" outlineLevel="1">
      <c r="A648" s="526"/>
      <c r="B648" s="527" t="s">
        <v>603</v>
      </c>
      <c r="C648" s="528"/>
      <c r="D648" s="528">
        <v>1</v>
      </c>
      <c r="E648" s="528"/>
      <c r="F648" s="528"/>
      <c r="G648" s="528"/>
      <c r="H648" s="528"/>
      <c r="I648" s="528"/>
      <c r="J648" s="528"/>
      <c r="K648" s="528"/>
      <c r="L648" s="528"/>
      <c r="M648" s="528"/>
      <c r="N648" s="528"/>
      <c r="O648" s="528"/>
      <c r="P648" s="528"/>
      <c r="Q648" s="528"/>
      <c r="R648" s="530"/>
    </row>
    <row r="649" spans="1:18" s="450" customFormat="1" ht="14.1" customHeight="1" outlineLevel="1">
      <c r="A649" s="526"/>
      <c r="B649" s="527" t="s">
        <v>604</v>
      </c>
      <c r="C649" s="528"/>
      <c r="D649" s="528">
        <v>1</v>
      </c>
      <c r="E649" s="528"/>
      <c r="F649" s="528"/>
      <c r="G649" s="528"/>
      <c r="H649" s="528"/>
      <c r="I649" s="528"/>
      <c r="J649" s="528"/>
      <c r="K649" s="528"/>
      <c r="L649" s="528"/>
      <c r="M649" s="528"/>
      <c r="N649" s="528"/>
      <c r="O649" s="528"/>
      <c r="P649" s="528"/>
      <c r="Q649" s="528"/>
      <c r="R649" s="530"/>
    </row>
    <row r="650" spans="1:18" s="450" customFormat="1" ht="14.1" customHeight="1" outlineLevel="1">
      <c r="A650" s="526"/>
      <c r="B650" s="527" t="s">
        <v>605</v>
      </c>
      <c r="C650" s="528"/>
      <c r="D650" s="528">
        <v>1</v>
      </c>
      <c r="E650" s="528"/>
      <c r="F650" s="528"/>
      <c r="G650" s="528"/>
      <c r="H650" s="528"/>
      <c r="I650" s="528"/>
      <c r="J650" s="528"/>
      <c r="K650" s="528"/>
      <c r="L650" s="528"/>
      <c r="M650" s="528"/>
      <c r="N650" s="528"/>
      <c r="O650" s="528"/>
      <c r="P650" s="528"/>
      <c r="Q650" s="528"/>
      <c r="R650" s="530"/>
    </row>
    <row r="651" spans="1:18" s="450" customFormat="1" ht="14.1" customHeight="1" outlineLevel="1">
      <c r="A651" s="526"/>
      <c r="B651" s="527" t="s">
        <v>606</v>
      </c>
      <c r="C651" s="528"/>
      <c r="D651" s="528">
        <v>1</v>
      </c>
      <c r="E651" s="528"/>
      <c r="F651" s="528"/>
      <c r="G651" s="528"/>
      <c r="H651" s="528"/>
      <c r="I651" s="528"/>
      <c r="J651" s="528"/>
      <c r="K651" s="528"/>
      <c r="L651" s="528"/>
      <c r="M651" s="528"/>
      <c r="N651" s="528"/>
      <c r="O651" s="528"/>
      <c r="P651" s="528"/>
      <c r="Q651" s="528"/>
      <c r="R651" s="530"/>
    </row>
    <row r="652" spans="1:18" s="450" customFormat="1" ht="14.1" customHeight="1" outlineLevel="1">
      <c r="A652" s="526"/>
      <c r="B652" s="527" t="s">
        <v>607</v>
      </c>
      <c r="C652" s="528"/>
      <c r="D652" s="528">
        <v>0.85</v>
      </c>
      <c r="E652" s="528"/>
      <c r="F652" s="528"/>
      <c r="G652" s="528"/>
      <c r="H652" s="528"/>
      <c r="I652" s="528"/>
      <c r="J652" s="528"/>
      <c r="K652" s="528"/>
      <c r="L652" s="528"/>
      <c r="M652" s="528"/>
      <c r="N652" s="528"/>
      <c r="O652" s="528"/>
      <c r="P652" s="528"/>
      <c r="Q652" s="528"/>
      <c r="R652" s="530"/>
    </row>
    <row r="653" spans="1:18" s="450" customFormat="1" ht="14.1" customHeight="1" outlineLevel="1">
      <c r="A653" s="526"/>
      <c r="B653" s="527" t="s">
        <v>608</v>
      </c>
      <c r="C653" s="528"/>
      <c r="D653" s="528">
        <v>1</v>
      </c>
      <c r="E653" s="528"/>
      <c r="F653" s="528"/>
      <c r="G653" s="528"/>
      <c r="H653" s="528"/>
      <c r="I653" s="528"/>
      <c r="J653" s="528"/>
      <c r="K653" s="528"/>
      <c r="L653" s="528"/>
      <c r="M653" s="528"/>
      <c r="N653" s="528"/>
      <c r="O653" s="528"/>
      <c r="P653" s="528"/>
      <c r="Q653" s="528"/>
      <c r="R653" s="530"/>
    </row>
    <row r="654" spans="1:18" s="450" customFormat="1" ht="14.1" customHeight="1" outlineLevel="1">
      <c r="A654" s="526"/>
      <c r="B654" s="527" t="s">
        <v>609</v>
      </c>
      <c r="C654" s="528"/>
      <c r="D654" s="528">
        <v>1</v>
      </c>
      <c r="E654" s="528"/>
      <c r="F654" s="528"/>
      <c r="G654" s="528"/>
      <c r="H654" s="528"/>
      <c r="I654" s="528"/>
      <c r="J654" s="528"/>
      <c r="K654" s="528"/>
      <c r="L654" s="528"/>
      <c r="M654" s="528"/>
      <c r="N654" s="528"/>
      <c r="O654" s="528"/>
      <c r="P654" s="528"/>
      <c r="Q654" s="528"/>
      <c r="R654" s="530"/>
    </row>
    <row r="655" spans="1:18" s="450" customFormat="1" ht="14.1" customHeight="1" outlineLevel="1">
      <c r="A655" s="526"/>
      <c r="B655" s="527" t="s">
        <v>610</v>
      </c>
      <c r="C655" s="528"/>
      <c r="D655" s="528">
        <v>1</v>
      </c>
      <c r="E655" s="528"/>
      <c r="F655" s="528"/>
      <c r="G655" s="528"/>
      <c r="H655" s="528"/>
      <c r="I655" s="528"/>
      <c r="J655" s="528"/>
      <c r="K655" s="528"/>
      <c r="L655" s="528"/>
      <c r="M655" s="528"/>
      <c r="N655" s="528"/>
      <c r="O655" s="528"/>
      <c r="P655" s="528"/>
      <c r="Q655" s="528"/>
      <c r="R655" s="530"/>
    </row>
    <row r="656" spans="1:18" s="450" customFormat="1" ht="14.1" customHeight="1" outlineLevel="1">
      <c r="A656" s="526"/>
      <c r="B656" s="527" t="s">
        <v>611</v>
      </c>
      <c r="C656" s="528"/>
      <c r="D656" s="528">
        <v>1</v>
      </c>
      <c r="E656" s="528"/>
      <c r="F656" s="528"/>
      <c r="G656" s="528"/>
      <c r="H656" s="528"/>
      <c r="I656" s="528"/>
      <c r="J656" s="528"/>
      <c r="K656" s="528"/>
      <c r="L656" s="528"/>
      <c r="M656" s="528"/>
      <c r="N656" s="528"/>
      <c r="O656" s="528"/>
      <c r="P656" s="528"/>
      <c r="Q656" s="528"/>
      <c r="R656" s="530"/>
    </row>
    <row r="657" spans="1:18" s="450" customFormat="1" ht="14.1" customHeight="1" outlineLevel="1">
      <c r="A657" s="526"/>
      <c r="B657" s="527" t="s">
        <v>612</v>
      </c>
      <c r="C657" s="528"/>
      <c r="D657" s="528">
        <v>1</v>
      </c>
      <c r="E657" s="528"/>
      <c r="F657" s="528"/>
      <c r="G657" s="528"/>
      <c r="H657" s="528"/>
      <c r="I657" s="528"/>
      <c r="J657" s="528"/>
      <c r="K657" s="528"/>
      <c r="L657" s="528"/>
      <c r="M657" s="528"/>
      <c r="N657" s="528"/>
      <c r="O657" s="528"/>
      <c r="P657" s="528"/>
      <c r="Q657" s="528"/>
      <c r="R657" s="530"/>
    </row>
    <row r="658" spans="1:18" s="450" customFormat="1" ht="14.1" customHeight="1" outlineLevel="1">
      <c r="A658" s="526"/>
      <c r="B658" s="527" t="s">
        <v>613</v>
      </c>
      <c r="C658" s="528"/>
      <c r="D658" s="528">
        <v>1</v>
      </c>
      <c r="E658" s="528"/>
      <c r="F658" s="528"/>
      <c r="G658" s="528"/>
      <c r="H658" s="528"/>
      <c r="I658" s="528"/>
      <c r="J658" s="528"/>
      <c r="K658" s="528"/>
      <c r="L658" s="528"/>
      <c r="M658" s="528"/>
      <c r="N658" s="528"/>
      <c r="O658" s="528"/>
      <c r="P658" s="528"/>
      <c r="Q658" s="528"/>
      <c r="R658" s="530"/>
    </row>
    <row r="659" spans="1:18" s="450" customFormat="1" ht="14.1" customHeight="1" outlineLevel="1">
      <c r="A659" s="526"/>
      <c r="B659" s="527" t="s">
        <v>614</v>
      </c>
      <c r="C659" s="528"/>
      <c r="D659" s="528">
        <v>1</v>
      </c>
      <c r="E659" s="528"/>
      <c r="F659" s="528"/>
      <c r="G659" s="528"/>
      <c r="H659" s="528"/>
      <c r="I659" s="528"/>
      <c r="J659" s="528"/>
      <c r="K659" s="528"/>
      <c r="L659" s="528"/>
      <c r="M659" s="528"/>
      <c r="N659" s="528"/>
      <c r="O659" s="528"/>
      <c r="P659" s="528"/>
      <c r="Q659" s="528"/>
      <c r="R659" s="530"/>
    </row>
    <row r="660" spans="1:18" s="450" customFormat="1" ht="14.1" customHeight="1" outlineLevel="1">
      <c r="A660" s="526"/>
      <c r="B660" s="527" t="s">
        <v>615</v>
      </c>
      <c r="C660" s="528"/>
      <c r="D660" s="528">
        <v>1</v>
      </c>
      <c r="E660" s="528"/>
      <c r="F660" s="528"/>
      <c r="G660" s="528"/>
      <c r="H660" s="528"/>
      <c r="I660" s="528"/>
      <c r="J660" s="528"/>
      <c r="K660" s="528"/>
      <c r="L660" s="528"/>
      <c r="M660" s="528"/>
      <c r="N660" s="528"/>
      <c r="O660" s="528"/>
      <c r="P660" s="528"/>
      <c r="Q660" s="528"/>
      <c r="R660" s="530"/>
    </row>
    <row r="661" spans="1:18" s="450" customFormat="1" ht="14.1" customHeight="1" outlineLevel="1">
      <c r="A661" s="526"/>
      <c r="B661" s="527" t="s">
        <v>616</v>
      </c>
      <c r="C661" s="528"/>
      <c r="D661" s="528">
        <v>1</v>
      </c>
      <c r="E661" s="528"/>
      <c r="F661" s="528"/>
      <c r="G661" s="528"/>
      <c r="H661" s="528"/>
      <c r="I661" s="528"/>
      <c r="J661" s="528"/>
      <c r="K661" s="528"/>
      <c r="L661" s="528"/>
      <c r="M661" s="528"/>
      <c r="N661" s="528"/>
      <c r="O661" s="528"/>
      <c r="P661" s="528"/>
      <c r="Q661" s="528"/>
      <c r="R661" s="530"/>
    </row>
    <row r="662" spans="1:18" s="450" customFormat="1" ht="14.1" customHeight="1" outlineLevel="1">
      <c r="A662" s="526"/>
      <c r="B662" s="527" t="s">
        <v>617</v>
      </c>
      <c r="C662" s="528"/>
      <c r="D662" s="528">
        <v>1</v>
      </c>
      <c r="E662" s="528"/>
      <c r="F662" s="528"/>
      <c r="G662" s="528"/>
      <c r="H662" s="528"/>
      <c r="I662" s="528"/>
      <c r="J662" s="528"/>
      <c r="K662" s="528"/>
      <c r="L662" s="528"/>
      <c r="M662" s="528"/>
      <c r="N662" s="528"/>
      <c r="O662" s="528"/>
      <c r="P662" s="528"/>
      <c r="Q662" s="528"/>
      <c r="R662" s="530"/>
    </row>
    <row r="663" spans="1:18" s="450" customFormat="1" ht="14.1" customHeight="1" outlineLevel="1">
      <c r="A663" s="526"/>
      <c r="B663" s="527" t="s">
        <v>618</v>
      </c>
      <c r="C663" s="528"/>
      <c r="D663" s="528">
        <v>1</v>
      </c>
      <c r="E663" s="528"/>
      <c r="F663" s="528"/>
      <c r="G663" s="528"/>
      <c r="H663" s="528"/>
      <c r="I663" s="528"/>
      <c r="J663" s="528"/>
      <c r="K663" s="528"/>
      <c r="L663" s="528"/>
      <c r="M663" s="528"/>
      <c r="N663" s="528"/>
      <c r="O663" s="528"/>
      <c r="P663" s="528"/>
      <c r="Q663" s="528"/>
      <c r="R663" s="530"/>
    </row>
    <row r="664" spans="1:18" s="450" customFormat="1" ht="14.1" customHeight="1" outlineLevel="1">
      <c r="A664" s="526"/>
      <c r="B664" s="527" t="s">
        <v>619</v>
      </c>
      <c r="C664" s="528"/>
      <c r="D664" s="528">
        <v>1</v>
      </c>
      <c r="E664" s="528"/>
      <c r="F664" s="528"/>
      <c r="G664" s="528"/>
      <c r="H664" s="528"/>
      <c r="I664" s="528"/>
      <c r="J664" s="528"/>
      <c r="K664" s="528"/>
      <c r="L664" s="528"/>
      <c r="M664" s="528"/>
      <c r="N664" s="528"/>
      <c r="O664" s="528"/>
      <c r="P664" s="528"/>
      <c r="Q664" s="528"/>
      <c r="R664" s="530"/>
    </row>
    <row r="665" spans="1:18" s="450" customFormat="1" ht="14.1" customHeight="1" outlineLevel="1">
      <c r="A665" s="526"/>
      <c r="B665" s="527" t="s">
        <v>620</v>
      </c>
      <c r="C665" s="528"/>
      <c r="D665" s="528">
        <v>1</v>
      </c>
      <c r="E665" s="528"/>
      <c r="F665" s="528"/>
      <c r="G665" s="528"/>
      <c r="H665" s="528"/>
      <c r="I665" s="528"/>
      <c r="J665" s="528"/>
      <c r="K665" s="528"/>
      <c r="L665" s="528"/>
      <c r="M665" s="528"/>
      <c r="N665" s="528"/>
      <c r="O665" s="528"/>
      <c r="P665" s="528"/>
      <c r="Q665" s="528"/>
      <c r="R665" s="530"/>
    </row>
    <row r="666" spans="1:18" s="450" customFormat="1" ht="14.1" customHeight="1" outlineLevel="1">
      <c r="A666" s="526"/>
      <c r="B666" s="527" t="s">
        <v>621</v>
      </c>
      <c r="C666" s="528"/>
      <c r="D666" s="528">
        <v>1</v>
      </c>
      <c r="E666" s="528"/>
      <c r="F666" s="528"/>
      <c r="G666" s="528"/>
      <c r="H666" s="528"/>
      <c r="I666" s="528"/>
      <c r="J666" s="528"/>
      <c r="K666" s="528"/>
      <c r="L666" s="528"/>
      <c r="M666" s="528"/>
      <c r="N666" s="528"/>
      <c r="O666" s="528"/>
      <c r="P666" s="528"/>
      <c r="Q666" s="528"/>
      <c r="R666" s="530"/>
    </row>
    <row r="667" spans="1:18" s="450" customFormat="1" ht="14.1" customHeight="1" outlineLevel="1">
      <c r="A667" s="526"/>
      <c r="B667" s="527" t="s">
        <v>622</v>
      </c>
      <c r="C667" s="528"/>
      <c r="D667" s="528">
        <v>1</v>
      </c>
      <c r="E667" s="528"/>
      <c r="F667" s="528"/>
      <c r="G667" s="528"/>
      <c r="H667" s="528"/>
      <c r="I667" s="528"/>
      <c r="J667" s="528"/>
      <c r="K667" s="528"/>
      <c r="L667" s="528"/>
      <c r="M667" s="528"/>
      <c r="N667" s="528"/>
      <c r="O667" s="528"/>
      <c r="P667" s="528"/>
      <c r="Q667" s="528"/>
      <c r="R667" s="530"/>
    </row>
    <row r="668" spans="1:18" s="450" customFormat="1" ht="14.1" customHeight="1" outlineLevel="1">
      <c r="A668" s="526"/>
      <c r="B668" s="527" t="s">
        <v>623</v>
      </c>
      <c r="C668" s="528"/>
      <c r="D668" s="528">
        <v>1</v>
      </c>
      <c r="E668" s="528"/>
      <c r="F668" s="528"/>
      <c r="G668" s="528"/>
      <c r="H668" s="528"/>
      <c r="I668" s="528"/>
      <c r="J668" s="528"/>
      <c r="K668" s="528"/>
      <c r="L668" s="528"/>
      <c r="M668" s="528"/>
      <c r="N668" s="528"/>
      <c r="O668" s="528"/>
      <c r="P668" s="528"/>
      <c r="Q668" s="528"/>
      <c r="R668" s="530"/>
    </row>
    <row r="669" spans="1:18" s="450" customFormat="1" ht="14.1" customHeight="1" outlineLevel="1">
      <c r="A669" s="526"/>
      <c r="B669" s="527" t="s">
        <v>624</v>
      </c>
      <c r="C669" s="528"/>
      <c r="D669" s="528">
        <v>1</v>
      </c>
      <c r="E669" s="528"/>
      <c r="F669" s="528"/>
      <c r="G669" s="528"/>
      <c r="H669" s="528"/>
      <c r="I669" s="528"/>
      <c r="J669" s="528"/>
      <c r="K669" s="528"/>
      <c r="L669" s="528"/>
      <c r="M669" s="528"/>
      <c r="N669" s="528"/>
      <c r="O669" s="528"/>
      <c r="P669" s="528"/>
      <c r="Q669" s="528"/>
      <c r="R669" s="530"/>
    </row>
    <row r="670" spans="1:18" s="450" customFormat="1" ht="14.1" customHeight="1" outlineLevel="1">
      <c r="A670" s="526"/>
      <c r="B670" s="527" t="s">
        <v>625</v>
      </c>
      <c r="C670" s="528"/>
      <c r="D670" s="528">
        <v>1</v>
      </c>
      <c r="E670" s="528"/>
      <c r="F670" s="528"/>
      <c r="G670" s="528"/>
      <c r="H670" s="528"/>
      <c r="I670" s="528"/>
      <c r="J670" s="528"/>
      <c r="K670" s="528"/>
      <c r="L670" s="528"/>
      <c r="M670" s="528"/>
      <c r="N670" s="528"/>
      <c r="O670" s="528"/>
      <c r="P670" s="528"/>
      <c r="Q670" s="528"/>
      <c r="R670" s="530"/>
    </row>
    <row r="671" spans="1:18" s="450" customFormat="1" ht="14.1" customHeight="1" outlineLevel="1">
      <c r="A671" s="526"/>
      <c r="B671" s="527" t="s">
        <v>626</v>
      </c>
      <c r="C671" s="528"/>
      <c r="D671" s="528">
        <v>1</v>
      </c>
      <c r="E671" s="528"/>
      <c r="F671" s="528"/>
      <c r="G671" s="528"/>
      <c r="H671" s="528"/>
      <c r="I671" s="528"/>
      <c r="J671" s="528"/>
      <c r="K671" s="528"/>
      <c r="L671" s="528"/>
      <c r="M671" s="528"/>
      <c r="N671" s="528"/>
      <c r="O671" s="528"/>
      <c r="P671" s="528"/>
      <c r="Q671" s="528"/>
      <c r="R671" s="530"/>
    </row>
    <row r="672" spans="1:18" s="450" customFormat="1" ht="14.1" customHeight="1" outlineLevel="1">
      <c r="A672" s="526"/>
      <c r="B672" s="527" t="s">
        <v>627</v>
      </c>
      <c r="C672" s="528"/>
      <c r="D672" s="528">
        <v>1</v>
      </c>
      <c r="E672" s="528"/>
      <c r="F672" s="528"/>
      <c r="G672" s="528"/>
      <c r="H672" s="528"/>
      <c r="I672" s="528"/>
      <c r="J672" s="528"/>
      <c r="K672" s="528"/>
      <c r="L672" s="528"/>
      <c r="M672" s="528"/>
      <c r="N672" s="528"/>
      <c r="O672" s="528"/>
      <c r="P672" s="528"/>
      <c r="Q672" s="528"/>
      <c r="R672" s="530"/>
    </row>
    <row r="673" spans="1:18" s="450" customFormat="1" ht="14.1" customHeight="1" outlineLevel="1">
      <c r="A673" s="526"/>
      <c r="B673" s="527" t="s">
        <v>628</v>
      </c>
      <c r="C673" s="528"/>
      <c r="D673" s="528">
        <v>1</v>
      </c>
      <c r="E673" s="528"/>
      <c r="F673" s="528"/>
      <c r="G673" s="528"/>
      <c r="H673" s="528"/>
      <c r="I673" s="528"/>
      <c r="J673" s="528"/>
      <c r="K673" s="528"/>
      <c r="L673" s="528"/>
      <c r="M673" s="528"/>
      <c r="N673" s="528"/>
      <c r="O673" s="528"/>
      <c r="P673" s="528"/>
      <c r="Q673" s="528"/>
      <c r="R673" s="530"/>
    </row>
    <row r="674" spans="1:18" s="450" customFormat="1" ht="14.1" customHeight="1" outlineLevel="1">
      <c r="A674" s="526"/>
      <c r="B674" s="527" t="s">
        <v>629</v>
      </c>
      <c r="C674" s="528"/>
      <c r="D674" s="528">
        <v>1</v>
      </c>
      <c r="E674" s="528"/>
      <c r="F674" s="528"/>
      <c r="G674" s="528"/>
      <c r="H674" s="528"/>
      <c r="I674" s="528"/>
      <c r="J674" s="528"/>
      <c r="K674" s="528"/>
      <c r="L674" s="528"/>
      <c r="M674" s="528"/>
      <c r="N674" s="528"/>
      <c r="O674" s="528"/>
      <c r="P674" s="528"/>
      <c r="Q674" s="528"/>
      <c r="R674" s="530"/>
    </row>
    <row r="675" spans="1:18" s="450" customFormat="1" ht="14.1" customHeight="1" outlineLevel="1">
      <c r="A675" s="526"/>
      <c r="B675" s="527" t="s">
        <v>630</v>
      </c>
      <c r="C675" s="528"/>
      <c r="D675" s="528">
        <v>1</v>
      </c>
      <c r="E675" s="528"/>
      <c r="F675" s="528"/>
      <c r="G675" s="528"/>
      <c r="H675" s="528"/>
      <c r="I675" s="528"/>
      <c r="J675" s="528"/>
      <c r="K675" s="528"/>
      <c r="L675" s="528"/>
      <c r="M675" s="528"/>
      <c r="N675" s="528"/>
      <c r="O675" s="528"/>
      <c r="P675" s="528"/>
      <c r="Q675" s="528"/>
      <c r="R675" s="530"/>
    </row>
    <row r="676" spans="1:18" s="450" customFormat="1" ht="14.1" customHeight="1" outlineLevel="1">
      <c r="A676" s="526"/>
      <c r="B676" s="527" t="s">
        <v>631</v>
      </c>
      <c r="C676" s="528"/>
      <c r="D676" s="528">
        <v>1</v>
      </c>
      <c r="E676" s="528"/>
      <c r="F676" s="528"/>
      <c r="G676" s="528"/>
      <c r="H676" s="528"/>
      <c r="I676" s="528"/>
      <c r="J676" s="528"/>
      <c r="K676" s="528"/>
      <c r="L676" s="528"/>
      <c r="M676" s="528"/>
      <c r="N676" s="528"/>
      <c r="O676" s="528"/>
      <c r="P676" s="528"/>
      <c r="Q676" s="528"/>
      <c r="R676" s="530"/>
    </row>
    <row r="677" spans="1:18" s="450" customFormat="1" ht="14.1" customHeight="1" outlineLevel="1">
      <c r="A677" s="526"/>
      <c r="B677" s="527" t="s">
        <v>632</v>
      </c>
      <c r="C677" s="528"/>
      <c r="D677" s="528">
        <v>1</v>
      </c>
      <c r="E677" s="528"/>
      <c r="F677" s="528"/>
      <c r="G677" s="528"/>
      <c r="H677" s="528"/>
      <c r="I677" s="528"/>
      <c r="J677" s="528"/>
      <c r="K677" s="528"/>
      <c r="L677" s="528"/>
      <c r="M677" s="528"/>
      <c r="N677" s="528"/>
      <c r="O677" s="528"/>
      <c r="P677" s="528"/>
      <c r="Q677" s="528"/>
      <c r="R677" s="530"/>
    </row>
    <row r="678" spans="1:18" s="450" customFormat="1" ht="14.1" customHeight="1" outlineLevel="1">
      <c r="A678" s="526"/>
      <c r="B678" s="527" t="s">
        <v>633</v>
      </c>
      <c r="C678" s="528"/>
      <c r="D678" s="528">
        <v>1</v>
      </c>
      <c r="E678" s="528"/>
      <c r="F678" s="528"/>
      <c r="G678" s="528"/>
      <c r="H678" s="528"/>
      <c r="I678" s="528"/>
      <c r="J678" s="528"/>
      <c r="K678" s="528"/>
      <c r="L678" s="528"/>
      <c r="M678" s="528"/>
      <c r="N678" s="528"/>
      <c r="O678" s="528"/>
      <c r="P678" s="528"/>
      <c r="Q678" s="528"/>
      <c r="R678" s="530"/>
    </row>
    <row r="679" spans="1:18" s="450" customFormat="1" ht="14.1" customHeight="1" outlineLevel="1">
      <c r="A679" s="526"/>
      <c r="B679" s="527" t="s">
        <v>634</v>
      </c>
      <c r="C679" s="528"/>
      <c r="D679" s="528">
        <v>1</v>
      </c>
      <c r="E679" s="528"/>
      <c r="F679" s="528"/>
      <c r="G679" s="528"/>
      <c r="H679" s="528"/>
      <c r="I679" s="528"/>
      <c r="J679" s="528"/>
      <c r="K679" s="528"/>
      <c r="L679" s="528"/>
      <c r="M679" s="528"/>
      <c r="N679" s="528"/>
      <c r="O679" s="528"/>
      <c r="P679" s="528"/>
      <c r="Q679" s="528"/>
      <c r="R679" s="530"/>
    </row>
    <row r="680" spans="1:18" s="450" customFormat="1" ht="14.1" customHeight="1" outlineLevel="1">
      <c r="A680" s="526"/>
      <c r="B680" s="527" t="s">
        <v>635</v>
      </c>
      <c r="C680" s="528"/>
      <c r="D680" s="528">
        <v>1</v>
      </c>
      <c r="E680" s="528"/>
      <c r="F680" s="528"/>
      <c r="G680" s="528"/>
      <c r="H680" s="528"/>
      <c r="I680" s="528"/>
      <c r="J680" s="528"/>
      <c r="K680" s="528"/>
      <c r="L680" s="528"/>
      <c r="M680" s="528"/>
      <c r="N680" s="528"/>
      <c r="O680" s="528"/>
      <c r="P680" s="528"/>
      <c r="Q680" s="528"/>
      <c r="R680" s="530"/>
    </row>
    <row r="681" spans="1:18" s="450" customFormat="1" ht="14.1" customHeight="1" outlineLevel="1">
      <c r="A681" s="526"/>
      <c r="B681" s="527" t="s">
        <v>636</v>
      </c>
      <c r="C681" s="528"/>
      <c r="D681" s="528">
        <v>1</v>
      </c>
      <c r="E681" s="528"/>
      <c r="F681" s="528"/>
      <c r="G681" s="528"/>
      <c r="H681" s="528"/>
      <c r="I681" s="528"/>
      <c r="J681" s="528"/>
      <c r="K681" s="528"/>
      <c r="L681" s="528"/>
      <c r="M681" s="528"/>
      <c r="N681" s="528"/>
      <c r="O681" s="528"/>
      <c r="P681" s="528"/>
      <c r="Q681" s="528"/>
      <c r="R681" s="530"/>
    </row>
    <row r="682" spans="1:18" s="450" customFormat="1" ht="14.1" customHeight="1" outlineLevel="1">
      <c r="A682" s="531"/>
      <c r="B682" s="527"/>
      <c r="C682" s="528"/>
      <c r="D682" s="528"/>
      <c r="E682" s="528"/>
      <c r="F682" s="528"/>
      <c r="G682" s="528"/>
      <c r="H682" s="528"/>
      <c r="I682" s="528"/>
      <c r="J682" s="528"/>
      <c r="K682" s="528"/>
      <c r="L682" s="528"/>
      <c r="M682" s="528"/>
      <c r="N682" s="528"/>
      <c r="O682" s="528"/>
      <c r="P682" s="528"/>
      <c r="Q682" s="528"/>
      <c r="R682" s="532"/>
    </row>
    <row r="683" spans="1:18" s="450" customFormat="1" ht="14.1" customHeight="1" outlineLevel="1">
      <c r="A683" s="526"/>
      <c r="B683" s="533" t="s">
        <v>637</v>
      </c>
      <c r="C683" s="528"/>
      <c r="D683" s="528"/>
      <c r="E683" s="528"/>
      <c r="F683" s="528"/>
      <c r="G683" s="528"/>
      <c r="H683" s="528"/>
      <c r="I683" s="528"/>
      <c r="J683" s="528"/>
      <c r="K683" s="528"/>
      <c r="L683" s="528"/>
      <c r="M683" s="528"/>
      <c r="N683" s="528"/>
      <c r="O683" s="528"/>
      <c r="P683" s="528"/>
      <c r="Q683" s="528"/>
      <c r="R683" s="530"/>
    </row>
    <row r="684" spans="1:18" s="450" customFormat="1" ht="14.1" customHeight="1" outlineLevel="1" collapsed="1">
      <c r="A684" s="526"/>
      <c r="B684" s="527" t="s">
        <v>638</v>
      </c>
      <c r="C684" s="528"/>
      <c r="D684" s="528"/>
      <c r="E684" s="528"/>
      <c r="F684" s="528"/>
      <c r="G684" s="528">
        <v>1</v>
      </c>
      <c r="H684" s="528">
        <v>1</v>
      </c>
      <c r="I684" s="528">
        <v>1</v>
      </c>
      <c r="J684" s="528">
        <v>1</v>
      </c>
      <c r="K684" s="528">
        <v>1</v>
      </c>
      <c r="L684" s="528">
        <v>1</v>
      </c>
      <c r="M684" s="528">
        <v>1</v>
      </c>
      <c r="N684" s="528">
        <v>1</v>
      </c>
      <c r="O684" s="528">
        <v>1</v>
      </c>
      <c r="P684" s="528">
        <v>1</v>
      </c>
      <c r="Q684" s="528"/>
      <c r="R684" s="530"/>
    </row>
    <row r="685" spans="1:18" s="450" customFormat="1" ht="14.1" customHeight="1" outlineLevel="1" collapsed="1">
      <c r="A685" s="526"/>
      <c r="B685" s="527" t="s">
        <v>639</v>
      </c>
      <c r="C685" s="528"/>
      <c r="D685" s="528"/>
      <c r="E685" s="528"/>
      <c r="F685" s="528"/>
      <c r="G685" s="528">
        <v>0</v>
      </c>
      <c r="H685" s="528">
        <v>0</v>
      </c>
      <c r="I685" s="528">
        <v>0</v>
      </c>
      <c r="J685" s="528">
        <v>0</v>
      </c>
      <c r="K685" s="528">
        <v>1</v>
      </c>
      <c r="L685" s="528">
        <v>1</v>
      </c>
      <c r="M685" s="528">
        <v>1</v>
      </c>
      <c r="N685" s="528">
        <v>1</v>
      </c>
      <c r="O685" s="528">
        <v>1</v>
      </c>
      <c r="P685" s="528">
        <v>1</v>
      </c>
      <c r="Q685" s="528"/>
      <c r="R685" s="530"/>
    </row>
    <row r="686" spans="1:18" s="450" customFormat="1" ht="14.1" customHeight="1" outlineLevel="1" collapsed="1">
      <c r="A686" s="526"/>
      <c r="B686" s="527" t="s">
        <v>640</v>
      </c>
      <c r="C686" s="528"/>
      <c r="D686" s="528"/>
      <c r="E686" s="528"/>
      <c r="F686" s="528"/>
      <c r="G686" s="528">
        <v>0</v>
      </c>
      <c r="H686" s="528">
        <v>0</v>
      </c>
      <c r="I686" s="528">
        <v>0</v>
      </c>
      <c r="J686" s="528">
        <v>0</v>
      </c>
      <c r="K686" s="528">
        <v>0</v>
      </c>
      <c r="L686" s="528">
        <v>0</v>
      </c>
      <c r="M686" s="528">
        <v>1</v>
      </c>
      <c r="N686" s="528">
        <v>1</v>
      </c>
      <c r="O686" s="528">
        <v>1</v>
      </c>
      <c r="P686" s="528">
        <v>1</v>
      </c>
      <c r="Q686" s="528"/>
      <c r="R686" s="530"/>
    </row>
    <row r="687" spans="1:18" s="450" customFormat="1" ht="14.1" customHeight="1" outlineLevel="1" collapsed="1">
      <c r="A687" s="526"/>
      <c r="B687" s="527" t="s">
        <v>641</v>
      </c>
      <c r="C687" s="528"/>
      <c r="D687" s="528"/>
      <c r="E687" s="528"/>
      <c r="F687" s="528"/>
      <c r="G687" s="528">
        <v>0</v>
      </c>
      <c r="H687" s="528">
        <v>0</v>
      </c>
      <c r="I687" s="528">
        <v>0</v>
      </c>
      <c r="J687" s="528">
        <v>0</v>
      </c>
      <c r="K687" s="528">
        <v>0</v>
      </c>
      <c r="L687" s="528">
        <v>1</v>
      </c>
      <c r="M687" s="528">
        <v>1</v>
      </c>
      <c r="N687" s="528">
        <v>1</v>
      </c>
      <c r="O687" s="528">
        <v>0.51</v>
      </c>
      <c r="P687" s="528">
        <v>0.51</v>
      </c>
      <c r="Q687" s="528"/>
      <c r="R687" s="530"/>
    </row>
    <row r="688" spans="1:18" s="450" customFormat="1" ht="14.1" customHeight="1" outlineLevel="1" collapsed="1">
      <c r="A688" s="526"/>
      <c r="B688" s="527" t="s">
        <v>642</v>
      </c>
      <c r="C688" s="528"/>
      <c r="D688" s="528"/>
      <c r="E688" s="528"/>
      <c r="F688" s="528"/>
      <c r="G688" s="528">
        <v>0</v>
      </c>
      <c r="H688" s="528">
        <v>0</v>
      </c>
      <c r="I688" s="528">
        <v>0</v>
      </c>
      <c r="J688" s="528">
        <v>0</v>
      </c>
      <c r="K688" s="528">
        <v>0</v>
      </c>
      <c r="L688" s="528">
        <v>0</v>
      </c>
      <c r="M688" s="528">
        <v>0</v>
      </c>
      <c r="N688" s="528">
        <v>0</v>
      </c>
      <c r="O688" s="528">
        <v>0</v>
      </c>
      <c r="P688" s="528">
        <v>0.51</v>
      </c>
      <c r="Q688" s="528"/>
      <c r="R688" s="530"/>
    </row>
    <row r="689" spans="1:18" s="450" customFormat="1" ht="14.1" customHeight="1" outlineLevel="1" collapsed="1">
      <c r="A689" s="526"/>
      <c r="B689" s="527" t="s">
        <v>643</v>
      </c>
      <c r="C689" s="528"/>
      <c r="D689" s="528"/>
      <c r="E689" s="528"/>
      <c r="F689" s="528"/>
      <c r="G689" s="528">
        <v>0</v>
      </c>
      <c r="H689" s="528">
        <v>0</v>
      </c>
      <c r="I689" s="528">
        <v>1</v>
      </c>
      <c r="J689" s="528">
        <v>1</v>
      </c>
      <c r="K689" s="528">
        <v>1</v>
      </c>
      <c r="L689" s="528">
        <v>1</v>
      </c>
      <c r="M689" s="528">
        <v>0</v>
      </c>
      <c r="N689" s="528">
        <v>0</v>
      </c>
      <c r="O689" s="528">
        <v>0</v>
      </c>
      <c r="P689" s="528">
        <v>0</v>
      </c>
      <c r="Q689" s="528"/>
      <c r="R689" s="530"/>
    </row>
    <row r="690" spans="1:18" s="290" customFormat="1" ht="14.1" customHeight="1" outlineLevel="1" collapsed="1">
      <c r="A690" s="526"/>
      <c r="B690" s="534"/>
      <c r="C690" s="535"/>
      <c r="D690" s="535"/>
      <c r="E690" s="535"/>
      <c r="F690" s="535"/>
      <c r="G690" s="535"/>
      <c r="H690" s="535"/>
      <c r="I690" s="535"/>
      <c r="J690" s="535"/>
      <c r="K690" s="535"/>
      <c r="L690" s="536"/>
      <c r="M690" s="536"/>
      <c r="N690" s="536"/>
      <c r="O690" s="536"/>
      <c r="P690" s="536"/>
      <c r="Q690" s="536"/>
      <c r="R690" s="413"/>
    </row>
    <row r="691" spans="1:18" s="142" customFormat="1" ht="16.350000000000001" customHeight="1">
      <c r="A691" s="1560" t="s">
        <v>644</v>
      </c>
      <c r="B691" s="1561"/>
      <c r="C691" s="403"/>
      <c r="D691" s="403"/>
      <c r="E691" s="403"/>
      <c r="F691" s="403"/>
      <c r="G691" s="403"/>
      <c r="H691" s="404"/>
      <c r="I691" s="404"/>
      <c r="J691" s="404"/>
      <c r="K691" s="404"/>
      <c r="L691" s="404"/>
      <c r="M691" s="404"/>
      <c r="N691" s="404"/>
      <c r="O691" s="404"/>
      <c r="P691" s="404"/>
      <c r="Q691" s="404"/>
      <c r="R691" s="405"/>
    </row>
    <row r="692" spans="1:18" s="540" customFormat="1" ht="16.350000000000001" customHeight="1" outlineLevel="1">
      <c r="A692" s="526"/>
      <c r="B692" s="537" t="s">
        <v>645</v>
      </c>
      <c r="C692" s="538"/>
      <c r="D692" s="539">
        <v>69.470600000000005</v>
      </c>
      <c r="E692" s="539">
        <v>57.600200000000001</v>
      </c>
      <c r="F692" s="539">
        <v>60.6569</v>
      </c>
      <c r="G692" s="539">
        <v>72.8827</v>
      </c>
      <c r="H692" s="539">
        <v>56.258400000000002</v>
      </c>
      <c r="I692" s="539">
        <v>32.729199999999999</v>
      </c>
      <c r="J692" s="539">
        <v>30.372699999999998</v>
      </c>
      <c r="K692" s="539">
        <v>32.196100000000001</v>
      </c>
      <c r="L692" s="539">
        <v>30.476900000000001</v>
      </c>
      <c r="M692" s="539">
        <v>30.244199999999999</v>
      </c>
      <c r="N692" s="539">
        <v>29.380400000000002</v>
      </c>
      <c r="O692" s="539"/>
      <c r="P692" s="539"/>
      <c r="Q692" s="539"/>
      <c r="R692" s="530"/>
    </row>
    <row r="693" spans="1:18" s="540" customFormat="1" ht="16.350000000000001" customHeight="1" outlineLevel="1">
      <c r="A693" s="526"/>
      <c r="B693" s="541" t="s">
        <v>646</v>
      </c>
      <c r="C693" s="542"/>
      <c r="D693" s="543">
        <v>62.707799999999999</v>
      </c>
      <c r="E693" s="543">
        <v>58.352899999999998</v>
      </c>
      <c r="F693" s="543">
        <v>67.034899999999993</v>
      </c>
      <c r="G693" s="543">
        <v>60.957900000000002</v>
      </c>
      <c r="H693" s="543">
        <v>38.421700000000001</v>
      </c>
      <c r="I693" s="543">
        <v>31.847999999999999</v>
      </c>
      <c r="J693" s="543">
        <v>31.093</v>
      </c>
      <c r="K693" s="543">
        <v>29.3874</v>
      </c>
      <c r="L693" s="543">
        <v>30.369199999999999</v>
      </c>
      <c r="M693" s="543">
        <v>31.723099999999999</v>
      </c>
      <c r="N693" s="543">
        <v>24.8553</v>
      </c>
      <c r="O693" s="543"/>
      <c r="P693" s="543"/>
      <c r="Q693" s="543"/>
      <c r="R693" s="530"/>
    </row>
    <row r="694" spans="1:18" s="540" customFormat="1" ht="16.350000000000001" customHeight="1" outlineLevel="1">
      <c r="A694" s="526"/>
      <c r="B694" s="544"/>
      <c r="C694" s="545"/>
      <c r="D694" s="545"/>
      <c r="E694" s="545"/>
      <c r="F694" s="545"/>
      <c r="G694" s="545"/>
      <c r="H694" s="545"/>
      <c r="I694" s="545"/>
      <c r="J694" s="545"/>
      <c r="K694" s="545"/>
      <c r="L694" s="546"/>
      <c r="M694" s="546"/>
      <c r="N694" s="546"/>
      <c r="O694" s="546"/>
      <c r="P694" s="546"/>
      <c r="Q694" s="546"/>
      <c r="R694" s="530"/>
    </row>
    <row r="695" spans="1:18" s="290" customFormat="1" ht="16.350000000000001" customHeight="1" outlineLevel="1">
      <c r="A695" s="526"/>
      <c r="B695" s="411" t="s">
        <v>647</v>
      </c>
      <c r="C695" s="547"/>
      <c r="D695" s="547"/>
      <c r="E695" s="547"/>
      <c r="F695" s="547"/>
      <c r="G695" s="547"/>
      <c r="H695" s="548"/>
      <c r="I695" s="548"/>
      <c r="J695" s="548"/>
      <c r="K695" s="548"/>
      <c r="L695" s="548"/>
      <c r="M695" s="548"/>
      <c r="N695" s="548"/>
      <c r="O695" s="548"/>
      <c r="P695" s="549"/>
      <c r="Q695" s="550"/>
      <c r="R695" s="530"/>
    </row>
    <row r="696" spans="1:18" s="290" customFormat="1" ht="16.350000000000001" customHeight="1" outlineLevel="1">
      <c r="A696" s="526"/>
      <c r="B696" s="551" t="s">
        <v>226</v>
      </c>
      <c r="C696" s="547"/>
      <c r="D696" s="547">
        <v>4.6600000000000003E-2</v>
      </c>
      <c r="E696" s="547">
        <v>1.0699999999999999E-2</v>
      </c>
      <c r="F696" s="547">
        <v>4.5699999999999998E-2</v>
      </c>
      <c r="G696" s="547">
        <v>0.14000000000000001</v>
      </c>
      <c r="H696" s="548">
        <v>0.15429999999999999</v>
      </c>
      <c r="I696" s="548">
        <v>7.3200000000000001E-2</v>
      </c>
      <c r="J696" s="548">
        <v>7.4800000000000005E-2</v>
      </c>
      <c r="K696" s="548">
        <v>3.8699999999999998E-2</v>
      </c>
      <c r="L696" s="548">
        <v>0.12889999999999999</v>
      </c>
      <c r="M696" s="548">
        <v>6.08E-2</v>
      </c>
      <c r="N696" s="548">
        <v>0.16450000000000001</v>
      </c>
      <c r="O696" s="548">
        <v>0.15559999999999999</v>
      </c>
      <c r="P696" s="549">
        <v>8.6699999999999999E-2</v>
      </c>
      <c r="Q696" s="550">
        <v>9.5699999999999993E-2</v>
      </c>
      <c r="R696" s="530"/>
    </row>
    <row r="697" spans="1:18" s="290" customFormat="1" ht="16.350000000000001" customHeight="1" outlineLevel="1">
      <c r="A697" s="526"/>
      <c r="B697" s="551" t="s">
        <v>227</v>
      </c>
      <c r="C697" s="547"/>
      <c r="D697" s="547">
        <v>2.5399999999999999E-2</v>
      </c>
      <c r="E697" s="547">
        <v>1.9800000000000002E-2</v>
      </c>
      <c r="F697" s="547">
        <v>5.9299999999999999E-2</v>
      </c>
      <c r="G697" s="547">
        <v>0.17430000000000001</v>
      </c>
      <c r="H697" s="547">
        <v>0.11409999999999999</v>
      </c>
      <c r="I697" s="547">
        <v>6.3299999999999995E-2</v>
      </c>
      <c r="J697" s="547">
        <v>7.2999999999999995E-2</v>
      </c>
      <c r="K697" s="547">
        <v>6.3899999999999998E-2</v>
      </c>
      <c r="L697" s="548">
        <v>8.6800000000000002E-2</v>
      </c>
      <c r="M697" s="548">
        <v>9.8799999999999999E-2</v>
      </c>
      <c r="N697" s="548">
        <v>0.1988</v>
      </c>
      <c r="O697" s="548">
        <v>0.1003</v>
      </c>
      <c r="P697" s="549">
        <v>9.2100000000000001E-2</v>
      </c>
      <c r="Q697" s="550">
        <v>0.12130000000000001</v>
      </c>
      <c r="R697" s="530"/>
    </row>
    <row r="698" spans="1:18" s="290" customFormat="1" ht="16.350000000000001" customHeight="1" outlineLevel="1">
      <c r="A698" s="526"/>
      <c r="B698" s="551" t="s">
        <v>314</v>
      </c>
      <c r="C698" s="547"/>
      <c r="D698" s="547">
        <v>-1.89999999999998E-3</v>
      </c>
      <c r="E698" s="547">
        <v>4.7899999999999998E-2</v>
      </c>
      <c r="F698" s="547">
        <v>6.2E-2</v>
      </c>
      <c r="G698" s="547">
        <v>0.18840000000000001</v>
      </c>
      <c r="H698" s="547">
        <v>9.7600000000000006E-2</v>
      </c>
      <c r="I698" s="547">
        <v>7.9799999999999996E-2</v>
      </c>
      <c r="J698" s="547">
        <v>3.6299999999999999E-2</v>
      </c>
      <c r="K698" s="547">
        <v>0.12479999999999999</v>
      </c>
      <c r="L698" s="548">
        <v>4.4600000000000001E-2</v>
      </c>
      <c r="M698" s="548">
        <v>0.1186</v>
      </c>
      <c r="N698" s="548">
        <v>0.21299999999999999</v>
      </c>
      <c r="O698" s="548">
        <v>7.7299999999999994E-2</v>
      </c>
      <c r="P698" s="549">
        <v>7.9699999999999993E-2</v>
      </c>
      <c r="Q698" s="550">
        <v>0.15090000000000001</v>
      </c>
      <c r="R698" s="530"/>
    </row>
    <row r="699" spans="1:18" s="290" customFormat="1" ht="16.350000000000001" customHeight="1" outlineLevel="1">
      <c r="A699" s="526"/>
      <c r="B699" s="551" t="s">
        <v>229</v>
      </c>
      <c r="C699" s="547"/>
      <c r="D699" s="547">
        <v>1.26E-2</v>
      </c>
      <c r="E699" s="547">
        <v>3.4500000000000003E-2</v>
      </c>
      <c r="F699" s="547">
        <v>5.1999999999999998E-2</v>
      </c>
      <c r="G699" s="547">
        <v>0.23019999999999999</v>
      </c>
      <c r="H699" s="547">
        <v>8.3699999999999997E-2</v>
      </c>
      <c r="I699" s="547">
        <v>8.2500000000000004E-2</v>
      </c>
      <c r="J699" s="547">
        <v>1.3299999999999999E-2</v>
      </c>
      <c r="K699" s="547">
        <v>0.14050000000000001</v>
      </c>
      <c r="L699" s="548">
        <v>4.8000000000000001E-2</v>
      </c>
      <c r="M699" s="548">
        <v>0.15770000000000001</v>
      </c>
      <c r="N699" s="548">
        <v>0.19040000000000001</v>
      </c>
      <c r="O699" s="548">
        <v>4.9099999999999998E-2</v>
      </c>
      <c r="P699" s="549">
        <v>0.10929999999999999</v>
      </c>
      <c r="Q699" s="550">
        <v>0.13489999999999999</v>
      </c>
      <c r="R699" s="530"/>
    </row>
    <row r="700" spans="1:18" s="290" customFormat="1" ht="16.350000000000001" customHeight="1" outlineLevel="1">
      <c r="A700" s="526"/>
      <c r="B700" s="411"/>
      <c r="C700" s="547"/>
      <c r="D700" s="547"/>
      <c r="E700" s="547"/>
      <c r="F700" s="547"/>
      <c r="G700" s="547"/>
      <c r="H700" s="548"/>
      <c r="I700" s="548"/>
      <c r="J700" s="548"/>
      <c r="K700" s="548"/>
      <c r="L700" s="548"/>
      <c r="M700" s="548"/>
      <c r="N700" s="548"/>
      <c r="O700" s="548"/>
      <c r="P700" s="549"/>
      <c r="Q700" s="549"/>
      <c r="R700" s="530"/>
    </row>
    <row r="701" spans="1:18" s="290" customFormat="1" ht="16.350000000000001" customHeight="1" outlineLevel="1">
      <c r="A701" s="526"/>
      <c r="B701" s="411" t="s">
        <v>648</v>
      </c>
      <c r="C701" s="547"/>
      <c r="D701" s="547"/>
      <c r="E701" s="547"/>
      <c r="F701" s="547"/>
      <c r="G701" s="547"/>
      <c r="H701" s="548"/>
      <c r="I701" s="548"/>
      <c r="J701" s="548"/>
      <c r="K701" s="548"/>
      <c r="L701" s="548"/>
      <c r="M701" s="548"/>
      <c r="N701" s="548"/>
      <c r="O701" s="548"/>
      <c r="P701" s="549"/>
      <c r="Q701" s="550"/>
      <c r="R701" s="530"/>
    </row>
    <row r="702" spans="1:18" s="290" customFormat="1" ht="16.350000000000001" customHeight="1" outlineLevel="1">
      <c r="A702" s="526"/>
      <c r="B702" s="552" t="s">
        <v>226</v>
      </c>
      <c r="C702" s="553"/>
      <c r="D702" s="553">
        <v>4.2599999999999999E-2</v>
      </c>
      <c r="E702" s="553">
        <v>2.5100000000000001E-2</v>
      </c>
      <c r="F702" s="553">
        <v>5.3900000000000003E-2</v>
      </c>
      <c r="G702" s="553">
        <v>0.12909999999999999</v>
      </c>
      <c r="H702" s="554">
        <v>0.1135</v>
      </c>
      <c r="I702" s="554">
        <v>6.4699999999999994E-2</v>
      </c>
      <c r="J702" s="554">
        <v>6.5699999999999995E-2</v>
      </c>
      <c r="K702" s="554">
        <v>6.0999999999999999E-2</v>
      </c>
      <c r="L702" s="554">
        <v>8.7800000000000003E-2</v>
      </c>
      <c r="M702" s="554">
        <v>8.7999999999999995E-2</v>
      </c>
      <c r="N702" s="554">
        <v>0.1328</v>
      </c>
      <c r="O702" s="554">
        <v>0.1187</v>
      </c>
      <c r="P702" s="555">
        <v>0.09</v>
      </c>
      <c r="Q702" s="556">
        <v>0.10920000000000001</v>
      </c>
      <c r="R702" s="530"/>
    </row>
    <row r="703" spans="1:18" s="290" customFormat="1" ht="16.350000000000001" customHeight="1" outlineLevel="1">
      <c r="A703" s="526"/>
      <c r="B703" s="552" t="s">
        <v>227</v>
      </c>
      <c r="C703" s="553"/>
      <c r="D703" s="553">
        <v>3.3799999999999997E-2</v>
      </c>
      <c r="E703" s="553">
        <v>2.9600000000000001E-2</v>
      </c>
      <c r="F703" s="553">
        <v>6.4299999999999996E-2</v>
      </c>
      <c r="G703" s="553">
        <v>0.15679999999999999</v>
      </c>
      <c r="H703" s="554">
        <v>8.0299999999999996E-2</v>
      </c>
      <c r="I703" s="554">
        <v>6.1400000000000003E-2</v>
      </c>
      <c r="J703" s="554">
        <v>6.5699999999999995E-2</v>
      </c>
      <c r="K703" s="554">
        <v>7.2099999999999997E-2</v>
      </c>
      <c r="L703" s="554">
        <v>6.9699999999999998E-2</v>
      </c>
      <c r="M703" s="554">
        <v>0.1071</v>
      </c>
      <c r="N703" s="554">
        <v>0.15029999999999999</v>
      </c>
      <c r="O703" s="554">
        <v>9.3600000000000003E-2</v>
      </c>
      <c r="P703" s="555">
        <v>9.4500000000000001E-2</v>
      </c>
      <c r="Q703" s="556">
        <v>0.12330000000000001</v>
      </c>
      <c r="R703" s="530"/>
    </row>
    <row r="704" spans="1:18" s="290" customFormat="1" ht="16.350000000000001" customHeight="1" outlineLevel="1">
      <c r="A704" s="526"/>
      <c r="B704" s="552" t="s">
        <v>314</v>
      </c>
      <c r="C704" s="553"/>
      <c r="D704" s="553">
        <v>2.29E-2</v>
      </c>
      <c r="E704" s="553">
        <v>4.3499999999999997E-2</v>
      </c>
      <c r="F704" s="553">
        <v>7.4899999999999994E-2</v>
      </c>
      <c r="G704" s="553">
        <v>0.15279999999999999</v>
      </c>
      <c r="H704" s="554">
        <v>7.8100000000000003E-2</v>
      </c>
      <c r="I704" s="554">
        <v>6.8900000000000003E-2</v>
      </c>
      <c r="J704" s="554">
        <v>4.2900000000000001E-2</v>
      </c>
      <c r="K704" s="554">
        <v>9.4200000000000006E-2</v>
      </c>
      <c r="L704" s="554">
        <v>5.7500000000000002E-2</v>
      </c>
      <c r="M704" s="554">
        <v>0.1188</v>
      </c>
      <c r="N704" s="554">
        <v>0.15129999999999999</v>
      </c>
      <c r="O704" s="554">
        <v>8.4900000000000003E-2</v>
      </c>
      <c r="P704" s="555">
        <v>9.0399999999999994E-2</v>
      </c>
      <c r="Q704" s="556">
        <v>0.1368</v>
      </c>
      <c r="R704" s="530"/>
    </row>
    <row r="705" spans="1:18" s="290" customFormat="1" ht="16.350000000000001" customHeight="1" outlineLevel="1">
      <c r="A705" s="526"/>
      <c r="B705" s="552" t="s">
        <v>229</v>
      </c>
      <c r="C705" s="553"/>
      <c r="D705" s="553">
        <v>2.35E-2</v>
      </c>
      <c r="E705" s="553">
        <v>4.2500000000000003E-2</v>
      </c>
      <c r="F705" s="553">
        <v>7.2700000000000001E-2</v>
      </c>
      <c r="G705" s="553">
        <v>0.16919999999999999</v>
      </c>
      <c r="H705" s="554">
        <v>6.9199999999999998E-2</v>
      </c>
      <c r="I705" s="554">
        <v>7.0199999999999999E-2</v>
      </c>
      <c r="J705" s="554">
        <v>3.6999999999999998E-2</v>
      </c>
      <c r="K705" s="554">
        <v>9.4700000000000006E-2</v>
      </c>
      <c r="L705" s="554">
        <v>6.4699999999999994E-2</v>
      </c>
      <c r="M705" s="554">
        <v>0.13969999999999999</v>
      </c>
      <c r="N705" s="554">
        <v>0.13339999999999999</v>
      </c>
      <c r="O705" s="554">
        <v>7.3800000000000004E-2</v>
      </c>
      <c r="P705" s="555">
        <v>0.1061</v>
      </c>
      <c r="Q705" s="556">
        <v>0.1361</v>
      </c>
      <c r="R705" s="530"/>
    </row>
    <row r="706" spans="1:18" s="290" customFormat="1" ht="16.350000000000001" customHeight="1" outlineLevel="1">
      <c r="A706" s="526"/>
      <c r="B706" s="411"/>
      <c r="C706" s="557"/>
      <c r="D706" s="557"/>
      <c r="E706" s="557"/>
      <c r="F706" s="557"/>
      <c r="G706" s="557"/>
      <c r="H706" s="558"/>
      <c r="I706" s="558"/>
      <c r="J706" s="558"/>
      <c r="K706" s="558"/>
      <c r="L706" s="558"/>
      <c r="M706" s="558"/>
      <c r="N706" s="558"/>
      <c r="O706" s="558"/>
      <c r="P706" s="550"/>
      <c r="Q706" s="550"/>
      <c r="R706" s="530"/>
    </row>
    <row r="707" spans="1:18" s="290" customFormat="1" ht="16.350000000000001" customHeight="1" outlineLevel="1">
      <c r="A707" s="526"/>
      <c r="B707" s="411" t="s">
        <v>649</v>
      </c>
      <c r="C707" s="557"/>
      <c r="D707" s="547">
        <v>7.7499999999999999E-2</v>
      </c>
      <c r="E707" s="547">
        <v>7.7499999999999999E-2</v>
      </c>
      <c r="F707" s="547">
        <v>0.1</v>
      </c>
      <c r="G707" s="547">
        <v>0.11</v>
      </c>
      <c r="H707" s="548">
        <v>0.17</v>
      </c>
      <c r="I707" s="548">
        <v>5.5E-2</v>
      </c>
      <c r="J707" s="548">
        <v>5.5E-2</v>
      </c>
      <c r="K707" s="548">
        <v>5.2499999999999998E-2</v>
      </c>
      <c r="L707" s="548">
        <v>0.05</v>
      </c>
      <c r="M707" s="548">
        <v>0.06</v>
      </c>
      <c r="N707" s="548">
        <v>0.09</v>
      </c>
      <c r="O707" s="558"/>
      <c r="P707" s="550"/>
      <c r="Q707" s="550"/>
      <c r="R707" s="530"/>
    </row>
    <row r="708" spans="1:18" s="290" customFormat="1" ht="14.1" customHeight="1" outlineLevel="1">
      <c r="A708" s="559"/>
      <c r="B708" s="560"/>
      <c r="C708" s="561"/>
      <c r="D708" s="561"/>
      <c r="E708" s="561"/>
      <c r="F708" s="561"/>
      <c r="G708" s="561"/>
      <c r="H708" s="561"/>
      <c r="I708" s="561"/>
      <c r="J708" s="561"/>
      <c r="K708" s="561"/>
      <c r="L708" s="562"/>
      <c r="M708" s="562"/>
      <c r="N708" s="562"/>
      <c r="O708" s="562"/>
      <c r="P708" s="562"/>
      <c r="Q708" s="562"/>
      <c r="R708" s="563"/>
    </row>
    <row r="709" spans="1:18" s="290" customFormat="1" ht="14.1" customHeight="1">
      <c r="A709" s="285"/>
      <c r="B709" s="286"/>
      <c r="C709" s="287"/>
      <c r="D709" s="287"/>
      <c r="E709" s="287"/>
      <c r="F709" s="287"/>
      <c r="G709" s="287"/>
      <c r="H709" s="287"/>
      <c r="I709" s="287"/>
      <c r="J709" s="287"/>
      <c r="K709" s="287"/>
      <c r="L709" s="288"/>
      <c r="M709" s="288"/>
      <c r="N709" s="288"/>
      <c r="O709" s="288"/>
      <c r="P709" s="288"/>
      <c r="Q709" s="288"/>
      <c r="R709" s="289"/>
    </row>
    <row r="710" spans="1:18" s="142" customFormat="1" ht="19.350000000000001" customHeight="1" collapsed="1">
      <c r="A710" s="1562" t="s">
        <v>650</v>
      </c>
      <c r="B710" s="1563"/>
      <c r="C710" s="564"/>
      <c r="D710" s="565"/>
      <c r="E710" s="565"/>
      <c r="F710" s="565"/>
      <c r="G710" s="565"/>
      <c r="H710" s="566"/>
      <c r="I710" s="566"/>
      <c r="J710" s="566"/>
      <c r="K710" s="566"/>
      <c r="L710" s="566"/>
      <c r="M710" s="566"/>
      <c r="N710" s="566"/>
      <c r="O710" s="566"/>
      <c r="P710" s="566"/>
      <c r="Q710" s="566"/>
      <c r="R710" s="567"/>
    </row>
    <row r="711" spans="1:18" s="574" customFormat="1" ht="16.350000000000001" customHeight="1" outlineLevel="1">
      <c r="A711" s="344"/>
      <c r="B711" s="568" t="s">
        <v>233</v>
      </c>
      <c r="C711" s="569"/>
      <c r="D711" s="570">
        <v>-2.7817812519421042E-2</v>
      </c>
      <c r="E711" s="570">
        <v>-1.4200000000000001E-2</v>
      </c>
      <c r="F711" s="570">
        <v>2.3800000000000002E-2</v>
      </c>
      <c r="G711" s="570">
        <v>7.2900000000000006E-2</v>
      </c>
      <c r="H711" s="570">
        <v>0.13850000000000001</v>
      </c>
      <c r="I711" s="570">
        <v>6.6199999999999995E-2</v>
      </c>
      <c r="J711" s="570">
        <v>5.2499999999999998E-2</v>
      </c>
      <c r="K711" s="571">
        <v>0.1159</v>
      </c>
      <c r="L711" s="571">
        <v>8.8900000000000007E-2</v>
      </c>
      <c r="M711" s="571">
        <v>4.1399999999999999E-2</v>
      </c>
      <c r="N711" s="571">
        <v>0.18840000000000001</v>
      </c>
      <c r="O711" s="571">
        <v>0.1391</v>
      </c>
      <c r="P711" s="571">
        <v>0.13189999999999999</v>
      </c>
      <c r="Q711" s="572"/>
      <c r="R711" s="573"/>
    </row>
    <row r="712" spans="1:18" s="579" customFormat="1" ht="16.350000000000001" customHeight="1" outlineLevel="1">
      <c r="A712" s="344"/>
      <c r="B712" s="575" t="s">
        <v>651</v>
      </c>
      <c r="C712" s="576"/>
      <c r="D712" s="577">
        <v>3.3427156125676521E-4</v>
      </c>
      <c r="E712" s="577">
        <v>1.23E-2</v>
      </c>
      <c r="F712" s="577">
        <v>3.2000000000000002E-3</v>
      </c>
      <c r="G712" s="577">
        <v>8.14E-2</v>
      </c>
      <c r="H712" s="577">
        <v>9.8100000000000007E-2</v>
      </c>
      <c r="I712" s="577">
        <v>5.8200000000000002E-2</v>
      </c>
      <c r="J712" s="577">
        <v>-4.5999999999999999E-3</v>
      </c>
      <c r="K712" s="578">
        <v>0.1017</v>
      </c>
      <c r="L712" s="578">
        <v>5.7700000000000001E-2</v>
      </c>
      <c r="M712" s="578">
        <v>5.7500000000000002E-2</v>
      </c>
      <c r="N712" s="578">
        <v>0.21659999999999999</v>
      </c>
      <c r="O712" s="578">
        <v>0.1484</v>
      </c>
      <c r="P712" s="578">
        <v>0.1011</v>
      </c>
      <c r="Q712" s="572"/>
      <c r="R712" s="573"/>
    </row>
    <row r="713" spans="1:18" s="579" customFormat="1" ht="16.350000000000001" customHeight="1" outlineLevel="1">
      <c r="A713" s="344"/>
      <c r="B713" s="575" t="s">
        <v>652</v>
      </c>
      <c r="C713" s="576"/>
      <c r="D713" s="577">
        <v>-2.8142676784171199E-2</v>
      </c>
      <c r="E713" s="577">
        <v>-2.63E-2</v>
      </c>
      <c r="F713" s="577">
        <v>2.0500000000000001E-2</v>
      </c>
      <c r="G713" s="580">
        <v>-7.9000000000000008E-3</v>
      </c>
      <c r="H713" s="577">
        <v>3.6799999999999999E-2</v>
      </c>
      <c r="I713" s="577">
        <v>7.6E-3</v>
      </c>
      <c r="J713" s="577">
        <v>5.7299999999999997E-2</v>
      </c>
      <c r="K713" s="578">
        <v>1.29E-2</v>
      </c>
      <c r="L713" s="578">
        <v>2.9499999999999998E-2</v>
      </c>
      <c r="M713" s="578">
        <v>-1.52E-2</v>
      </c>
      <c r="N713" s="578">
        <v>-2.3199999999999998E-2</v>
      </c>
      <c r="O713" s="578">
        <v>-7.7999999999999996E-3</v>
      </c>
      <c r="P713" s="578">
        <v>2.8000000000000001E-2</v>
      </c>
      <c r="Q713" s="572"/>
      <c r="R713" s="573"/>
    </row>
    <row r="714" spans="1:18" s="585" customFormat="1" ht="16.350000000000001" customHeight="1" outlineLevel="1">
      <c r="A714" s="344"/>
      <c r="B714" s="581" t="s">
        <v>653</v>
      </c>
      <c r="C714" s="582"/>
      <c r="D714" s="582"/>
      <c r="E714" s="582">
        <v>7848</v>
      </c>
      <c r="F714" s="582">
        <v>8663</v>
      </c>
      <c r="G714" s="582">
        <v>7287</v>
      </c>
      <c r="H714" s="582">
        <v>6014</v>
      </c>
      <c r="I714" s="582">
        <v>4846</v>
      </c>
      <c r="J714" s="582">
        <v>2465</v>
      </c>
      <c r="K714" s="583">
        <v>1956</v>
      </c>
      <c r="L714" s="584">
        <v>2025</v>
      </c>
      <c r="M714" s="584">
        <v>1739</v>
      </c>
      <c r="N714" s="584">
        <v>1375</v>
      </c>
      <c r="O714" s="584">
        <v>1021</v>
      </c>
      <c r="P714" s="584">
        <v>633</v>
      </c>
      <c r="Q714" s="572"/>
      <c r="R714" s="573"/>
    </row>
    <row r="715" spans="1:18" s="590" customFormat="1" ht="16.350000000000001" customHeight="1" outlineLevel="1">
      <c r="A715" s="344"/>
      <c r="B715" s="586"/>
      <c r="C715" s="587"/>
      <c r="D715" s="587"/>
      <c r="E715" s="587"/>
      <c r="F715" s="587"/>
      <c r="G715" s="587"/>
      <c r="H715" s="588"/>
      <c r="I715" s="588"/>
      <c r="J715" s="588"/>
      <c r="K715" s="588"/>
      <c r="L715" s="587"/>
      <c r="M715" s="589"/>
      <c r="N715" s="589"/>
      <c r="O715" s="589"/>
      <c r="P715" s="589"/>
      <c r="Q715" s="572"/>
      <c r="R715" s="573"/>
    </row>
    <row r="716" spans="1:18" s="579" customFormat="1" ht="16.350000000000001" customHeight="1" outlineLevel="1">
      <c r="A716" s="344"/>
      <c r="B716" s="591" t="s">
        <v>654</v>
      </c>
      <c r="C716" s="576"/>
      <c r="D716" s="577">
        <v>2.6701228701308919E-3</v>
      </c>
      <c r="E716" s="577">
        <v>-3.73E-2</v>
      </c>
      <c r="F716" s="577">
        <v>1.2999999999999999E-2</v>
      </c>
      <c r="G716" s="577">
        <v>1.83E-2</v>
      </c>
      <c r="H716" s="577">
        <v>0.17069999999999999</v>
      </c>
      <c r="I716" s="577">
        <v>3.6299999999999999E-2</v>
      </c>
      <c r="J716" s="577">
        <v>8.0100000000000005E-2</v>
      </c>
      <c r="K716" s="578">
        <v>2.87E-2</v>
      </c>
      <c r="L716" s="578">
        <v>0.18140000000000001</v>
      </c>
      <c r="M716" s="592"/>
      <c r="N716" s="592"/>
      <c r="O716" s="592"/>
      <c r="P716" s="592"/>
      <c r="Q716" s="572"/>
      <c r="R716" s="573"/>
    </row>
    <row r="717" spans="1:18" s="579" customFormat="1" ht="16.350000000000001" customHeight="1" outlineLevel="2">
      <c r="A717" s="344"/>
      <c r="B717" s="593" t="s">
        <v>655</v>
      </c>
      <c r="D717" s="577">
        <v>3.9255626604710235E-2</v>
      </c>
      <c r="E717" s="577">
        <v>-1.78E-2</v>
      </c>
      <c r="F717" s="577">
        <v>1.9900000000000001E-2</v>
      </c>
      <c r="G717" s="577">
        <v>3.3300000000000003E-2</v>
      </c>
      <c r="H717" s="577">
        <v>0.12820000000000001</v>
      </c>
      <c r="I717" s="577">
        <v>4.3299999999999998E-2</v>
      </c>
      <c r="J717" s="577">
        <v>7.5999999999999998E-2</v>
      </c>
      <c r="K717" s="578">
        <v>0.05</v>
      </c>
      <c r="L717" s="578">
        <v>0.1196</v>
      </c>
      <c r="M717" s="592"/>
      <c r="N717" s="592"/>
      <c r="O717" s="592"/>
      <c r="P717" s="592"/>
      <c r="Q717" s="572"/>
      <c r="R717" s="573"/>
    </row>
    <row r="718" spans="1:18" s="579" customFormat="1" ht="16.350000000000001" customHeight="1" outlineLevel="2">
      <c r="A718" s="344"/>
      <c r="B718" s="593" t="s">
        <v>656</v>
      </c>
      <c r="C718" s="594"/>
      <c r="D718" s="580">
        <v>-3.5203565704143257E-2</v>
      </c>
      <c r="E718" s="580">
        <v>-1.9900000000000001E-2</v>
      </c>
      <c r="F718" s="580">
        <v>-6.7999999999999996E-3</v>
      </c>
      <c r="G718" s="580">
        <v>-1.4500000000000001E-2</v>
      </c>
      <c r="H718" s="577">
        <v>3.7699999999999997E-2</v>
      </c>
      <c r="I718" s="577">
        <v>-6.7999999999999996E-3</v>
      </c>
      <c r="J718" s="577">
        <v>3.8E-3</v>
      </c>
      <c r="K718" s="578">
        <v>-2.0299999999999999E-2</v>
      </c>
      <c r="L718" s="578">
        <v>5.5199999999999999E-2</v>
      </c>
      <c r="M718" s="595"/>
      <c r="N718" s="595"/>
      <c r="O718" s="595"/>
      <c r="P718" s="595"/>
      <c r="Q718" s="572"/>
      <c r="R718" s="573"/>
    </row>
    <row r="719" spans="1:18" s="585" customFormat="1" ht="16.350000000000001" customHeight="1" outlineLevel="2">
      <c r="A719" s="344"/>
      <c r="B719" s="596" t="s">
        <v>657</v>
      </c>
      <c r="C719" s="582"/>
      <c r="D719" s="582"/>
      <c r="E719" s="582">
        <v>9436</v>
      </c>
      <c r="F719" s="582">
        <v>9020</v>
      </c>
      <c r="G719" s="582">
        <v>7798</v>
      </c>
      <c r="H719" s="582">
        <v>6634</v>
      </c>
      <c r="I719" s="582">
        <v>5383</v>
      </c>
      <c r="J719" s="582">
        <v>3833</v>
      </c>
      <c r="K719" s="583">
        <v>3080</v>
      </c>
      <c r="L719" s="584">
        <v>2517</v>
      </c>
      <c r="M719" s="584"/>
      <c r="N719" s="584"/>
      <c r="O719" s="584"/>
      <c r="P719" s="584"/>
      <c r="Q719" s="597"/>
      <c r="R719" s="573"/>
    </row>
    <row r="720" spans="1:18" s="602" customFormat="1" ht="16.350000000000001" customHeight="1" outlineLevel="2">
      <c r="A720" s="344"/>
      <c r="B720" s="598"/>
      <c r="C720" s="599"/>
      <c r="D720" s="599"/>
      <c r="E720" s="599"/>
      <c r="F720" s="599"/>
      <c r="G720" s="599"/>
      <c r="H720" s="599"/>
      <c r="I720" s="599"/>
      <c r="J720" s="599"/>
      <c r="K720" s="599"/>
      <c r="L720" s="600"/>
      <c r="M720" s="600"/>
      <c r="N720" s="600"/>
      <c r="O720" s="600"/>
      <c r="P720" s="600"/>
      <c r="Q720" s="601"/>
      <c r="R720" s="573"/>
    </row>
    <row r="721" spans="1:18" s="579" customFormat="1" ht="16.350000000000001" customHeight="1" outlineLevel="1">
      <c r="A721" s="344"/>
      <c r="B721" s="591" t="s">
        <v>658</v>
      </c>
      <c r="C721" s="576"/>
      <c r="D721" s="577">
        <v>-2.7163604606974007E-2</v>
      </c>
      <c r="E721" s="577">
        <v>-8.9999999999999993E-3</v>
      </c>
      <c r="F721" s="577">
        <v>3.73E-2</v>
      </c>
      <c r="G721" s="577">
        <v>4.1599999999999998E-2</v>
      </c>
      <c r="H721" s="577">
        <v>0.1721</v>
      </c>
      <c r="I721" s="577">
        <v>5.6000000000000001E-2</v>
      </c>
      <c r="J721" s="577">
        <v>6.7000000000000004E-2</v>
      </c>
      <c r="K721" s="578">
        <v>8.1299999999999997E-2</v>
      </c>
      <c r="L721" s="578">
        <v>0.1183</v>
      </c>
      <c r="M721" s="595"/>
      <c r="N721" s="595"/>
      <c r="O721" s="595"/>
      <c r="P721" s="595"/>
      <c r="Q721" s="572"/>
      <c r="R721" s="573"/>
    </row>
    <row r="722" spans="1:18" s="579" customFormat="1" ht="16.350000000000001" customHeight="1" outlineLevel="2">
      <c r="A722" s="344"/>
      <c r="B722" s="593" t="s">
        <v>659</v>
      </c>
      <c r="C722" s="576"/>
      <c r="D722" s="580">
        <v>-5.0472374021879752E-3</v>
      </c>
      <c r="E722" s="580">
        <v>1.2200000000000001E-2</v>
      </c>
      <c r="F722" s="580">
        <v>-1.4E-3</v>
      </c>
      <c r="G722" s="577">
        <v>6.4000000000000001E-2</v>
      </c>
      <c r="H722" s="577">
        <v>0.1086</v>
      </c>
      <c r="I722" s="577">
        <v>6.4899999999999999E-2</v>
      </c>
      <c r="J722" s="577">
        <v>6.0999999999999999E-2</v>
      </c>
      <c r="K722" s="578">
        <v>9.9599999999999994E-2</v>
      </c>
      <c r="L722" s="578">
        <v>5.3900000000000003E-2</v>
      </c>
      <c r="M722" s="595"/>
      <c r="N722" s="595"/>
      <c r="O722" s="595"/>
      <c r="P722" s="595"/>
      <c r="Q722" s="572"/>
      <c r="R722" s="573"/>
    </row>
    <row r="723" spans="1:18" s="579" customFormat="1" ht="16.350000000000001" customHeight="1" outlineLevel="2">
      <c r="A723" s="344"/>
      <c r="B723" s="593" t="s">
        <v>660</v>
      </c>
      <c r="C723" s="576"/>
      <c r="D723" s="577">
        <v>-2.2228560024337533E-2</v>
      </c>
      <c r="E723" s="577">
        <v>-2.0899999999999998E-2</v>
      </c>
      <c r="F723" s="577">
        <v>3.8800000000000001E-2</v>
      </c>
      <c r="G723" s="580">
        <v>-2.1000000000000001E-2</v>
      </c>
      <c r="H723" s="577">
        <v>5.74E-2</v>
      </c>
      <c r="I723" s="577">
        <v>-8.3999999999999995E-3</v>
      </c>
      <c r="J723" s="577">
        <v>5.5999999999999999E-3</v>
      </c>
      <c r="K723" s="578">
        <v>-1.66E-2</v>
      </c>
      <c r="L723" s="578">
        <v>6.1100000000000002E-2</v>
      </c>
      <c r="M723" s="595"/>
      <c r="N723" s="595"/>
      <c r="O723" s="595"/>
      <c r="P723" s="595"/>
      <c r="Q723" s="572"/>
      <c r="R723" s="573"/>
    </row>
    <row r="724" spans="1:18" s="585" customFormat="1" ht="16.350000000000001" customHeight="1" outlineLevel="2">
      <c r="A724" s="344"/>
      <c r="B724" s="596" t="s">
        <v>661</v>
      </c>
      <c r="C724" s="582"/>
      <c r="D724" s="582">
        <v>9578</v>
      </c>
      <c r="E724" s="582">
        <v>8859</v>
      </c>
      <c r="F724" s="582">
        <v>8694</v>
      </c>
      <c r="G724" s="582">
        <v>7359</v>
      </c>
      <c r="H724" s="582">
        <v>6179</v>
      </c>
      <c r="I724" s="582">
        <v>4988</v>
      </c>
      <c r="J724" s="582">
        <v>3546</v>
      </c>
      <c r="K724" s="583">
        <v>2825</v>
      </c>
      <c r="L724" s="584">
        <v>2394</v>
      </c>
      <c r="M724" s="584"/>
      <c r="N724" s="584"/>
      <c r="O724" s="584"/>
      <c r="P724" s="584"/>
      <c r="Q724" s="597"/>
      <c r="R724" s="573"/>
    </row>
    <row r="725" spans="1:18" s="602" customFormat="1" ht="16.350000000000001" customHeight="1" outlineLevel="2">
      <c r="A725" s="344"/>
      <c r="B725" s="598"/>
      <c r="C725" s="599"/>
      <c r="D725" s="599"/>
      <c r="E725" s="599"/>
      <c r="F725" s="599"/>
      <c r="G725" s="599"/>
      <c r="H725" s="599"/>
      <c r="I725" s="599"/>
      <c r="J725" s="599"/>
      <c r="K725" s="599"/>
      <c r="L725" s="600"/>
      <c r="M725" s="600"/>
      <c r="N725" s="600"/>
      <c r="O725" s="600"/>
      <c r="P725" s="600"/>
      <c r="Q725" s="601"/>
      <c r="R725" s="573"/>
    </row>
    <row r="726" spans="1:18" s="579" customFormat="1" ht="16.350000000000001" customHeight="1" outlineLevel="1">
      <c r="A726" s="344"/>
      <c r="B726" s="591" t="s">
        <v>662</v>
      </c>
      <c r="C726" s="576"/>
      <c r="D726" s="577">
        <v>-5.3873968417387966E-2</v>
      </c>
      <c r="E726" s="577">
        <v>5.0000000000000001E-3</v>
      </c>
      <c r="F726" s="577">
        <v>1.0200000000000001E-2</v>
      </c>
      <c r="G726" s="577">
        <v>9.74E-2</v>
      </c>
      <c r="H726" s="577">
        <v>0.122</v>
      </c>
      <c r="I726" s="577">
        <v>8.3299999999999999E-2</v>
      </c>
      <c r="J726" s="577">
        <v>2.6700000000000002E-2</v>
      </c>
      <c r="K726" s="578">
        <v>0.1757</v>
      </c>
      <c r="L726" s="578">
        <v>7.1999999999999995E-2</v>
      </c>
      <c r="M726" s="595"/>
      <c r="N726" s="595"/>
      <c r="O726" s="595"/>
      <c r="P726" s="595"/>
      <c r="Q726" s="572"/>
      <c r="R726" s="573"/>
    </row>
    <row r="727" spans="1:18" s="579" customFormat="1" ht="16.350000000000001" customHeight="1" outlineLevel="2">
      <c r="A727" s="344"/>
      <c r="B727" s="593" t="s">
        <v>663</v>
      </c>
      <c r="C727" s="594"/>
      <c r="D727" s="580">
        <v>-3.2860722414406962E-2</v>
      </c>
      <c r="E727" s="580">
        <v>3.8899999999999997E-2</v>
      </c>
      <c r="F727" s="580">
        <v>-0.01</v>
      </c>
      <c r="G727" s="577">
        <v>0.1038</v>
      </c>
      <c r="H727" s="577">
        <v>0.09</v>
      </c>
      <c r="I727" s="577">
        <v>6.5500000000000003E-2</v>
      </c>
      <c r="J727" s="577">
        <v>4.0500000000000001E-2</v>
      </c>
      <c r="K727" s="578">
        <v>0.13339999999999999</v>
      </c>
      <c r="L727" s="578">
        <v>3.6400000000000002E-2</v>
      </c>
      <c r="M727" s="595"/>
      <c r="N727" s="595"/>
      <c r="O727" s="595"/>
      <c r="P727" s="595"/>
      <c r="Q727" s="572"/>
      <c r="R727" s="573"/>
    </row>
    <row r="728" spans="1:18" s="579" customFormat="1" ht="16.350000000000001" customHeight="1" outlineLevel="2">
      <c r="A728" s="344"/>
      <c r="B728" s="593" t="s">
        <v>664</v>
      </c>
      <c r="C728" s="576"/>
      <c r="D728" s="577">
        <v>-2.1727218085320053E-2</v>
      </c>
      <c r="E728" s="577">
        <v>-3.2500000000000001E-2</v>
      </c>
      <c r="F728" s="577">
        <v>2.0500000000000001E-2</v>
      </c>
      <c r="G728" s="580">
        <v>-5.8999999999999999E-3</v>
      </c>
      <c r="H728" s="577">
        <v>2.93E-2</v>
      </c>
      <c r="I728" s="577">
        <v>1.66E-2</v>
      </c>
      <c r="J728" s="577">
        <v>-1.3299999999999999E-2</v>
      </c>
      <c r="K728" s="578">
        <v>3.73E-2</v>
      </c>
      <c r="L728" s="578">
        <v>3.4299999999999997E-2</v>
      </c>
      <c r="M728" s="595"/>
      <c r="N728" s="595"/>
      <c r="O728" s="595"/>
      <c r="P728" s="595"/>
      <c r="Q728" s="572"/>
      <c r="R728" s="573"/>
    </row>
    <row r="729" spans="1:18" s="585" customFormat="1" ht="16.350000000000001" customHeight="1" outlineLevel="2">
      <c r="A729" s="344"/>
      <c r="B729" s="596" t="s">
        <v>665</v>
      </c>
      <c r="C729" s="582"/>
      <c r="D729" s="582">
        <v>9515</v>
      </c>
      <c r="E729" s="582">
        <v>8890</v>
      </c>
      <c r="F729" s="582">
        <v>8413</v>
      </c>
      <c r="G729" s="582">
        <v>7201</v>
      </c>
      <c r="H729" s="582">
        <v>5990</v>
      </c>
      <c r="I729" s="582">
        <v>4833</v>
      </c>
      <c r="J729" s="582">
        <v>3173</v>
      </c>
      <c r="K729" s="583">
        <v>2546</v>
      </c>
      <c r="L729" s="584">
        <v>2266</v>
      </c>
      <c r="M729" s="584"/>
      <c r="N729" s="584"/>
      <c r="O729" s="584"/>
      <c r="P729" s="584"/>
      <c r="Q729" s="597"/>
      <c r="R729" s="573"/>
    </row>
    <row r="730" spans="1:18" s="602" customFormat="1" ht="16.350000000000001" customHeight="1" outlineLevel="2">
      <c r="A730" s="344"/>
      <c r="B730" s="598"/>
      <c r="C730" s="599"/>
      <c r="D730" s="599"/>
      <c r="E730" s="599"/>
      <c r="F730" s="599"/>
      <c r="G730" s="599"/>
      <c r="H730" s="599"/>
      <c r="I730" s="599"/>
      <c r="J730" s="599"/>
      <c r="K730" s="603"/>
      <c r="L730" s="600"/>
      <c r="M730" s="600"/>
      <c r="N730" s="600"/>
      <c r="O730" s="600"/>
      <c r="P730" s="600"/>
      <c r="Q730" s="601"/>
      <c r="R730" s="573"/>
    </row>
    <row r="731" spans="1:18" s="579" customFormat="1" ht="16.350000000000001" customHeight="1" outlineLevel="1">
      <c r="A731" s="344"/>
      <c r="B731" s="591" t="s">
        <v>666</v>
      </c>
      <c r="C731" s="577">
        <v>1.0999999999999999E-2</v>
      </c>
      <c r="D731" s="577">
        <v>-3.8300000000000001E-2</v>
      </c>
      <c r="E731" s="577">
        <v>-2.0799999999999999E-2</v>
      </c>
      <c r="F731" s="577">
        <v>2.6700000000000002E-2</v>
      </c>
      <c r="G731" s="577">
        <v>0.1406</v>
      </c>
      <c r="H731" s="577">
        <v>5.96E-2</v>
      </c>
      <c r="I731" s="577">
        <v>7.3400000000000007E-2</v>
      </c>
      <c r="J731" s="577">
        <v>3.8100000000000002E-2</v>
      </c>
      <c r="K731" s="578">
        <v>0.20699999999999999</v>
      </c>
      <c r="L731" s="578">
        <v>2.4400000000000002E-2</v>
      </c>
      <c r="M731" s="595"/>
      <c r="N731" s="595"/>
      <c r="O731" s="595"/>
      <c r="P731" s="595"/>
      <c r="Q731" s="572"/>
      <c r="R731" s="573"/>
    </row>
    <row r="732" spans="1:18" s="579" customFormat="1" ht="16.350000000000001" customHeight="1" outlineLevel="2">
      <c r="A732" s="344"/>
      <c r="B732" s="593" t="s">
        <v>667</v>
      </c>
      <c r="C732" s="577">
        <v>4.9000000000000002E-2</v>
      </c>
      <c r="D732" s="577">
        <v>-6.9999999999999999E-4</v>
      </c>
      <c r="E732" s="577">
        <v>1.7999999999999999E-2</v>
      </c>
      <c r="F732" s="577">
        <v>3.2000000000000002E-3</v>
      </c>
      <c r="G732" s="577">
        <v>0.13869999999999999</v>
      </c>
      <c r="H732" s="577">
        <v>5.3199999999999997E-2</v>
      </c>
      <c r="I732" s="577">
        <v>5.8500000000000003E-2</v>
      </c>
      <c r="J732" s="577">
        <v>4.7300000000000002E-2</v>
      </c>
      <c r="K732" s="578">
        <v>0.13919999999999999</v>
      </c>
      <c r="L732" s="578">
        <v>3.1699999999999999E-2</v>
      </c>
      <c r="M732" s="595"/>
      <c r="N732" s="595"/>
      <c r="O732" s="595"/>
      <c r="P732" s="595"/>
      <c r="Q732" s="572"/>
      <c r="R732" s="573"/>
    </row>
    <row r="733" spans="1:18" s="579" customFormat="1" ht="16.350000000000001" customHeight="1" outlineLevel="2">
      <c r="A733" s="344"/>
      <c r="B733" s="593" t="s">
        <v>668</v>
      </c>
      <c r="C733" s="577">
        <v>-3.5999999999999997E-2</v>
      </c>
      <c r="D733" s="577">
        <v>-3.7600000000000001E-2</v>
      </c>
      <c r="E733" s="577">
        <v>-3.8100000000000002E-2</v>
      </c>
      <c r="F733" s="577">
        <v>2.3400000000000001E-2</v>
      </c>
      <c r="G733" s="577">
        <v>1.6999999999999999E-3</v>
      </c>
      <c r="H733" s="577">
        <v>6.1000000000000004E-3</v>
      </c>
      <c r="I733" s="577">
        <v>1.41E-2</v>
      </c>
      <c r="J733" s="577">
        <v>-8.8000000000000005E-3</v>
      </c>
      <c r="K733" s="578">
        <v>5.9499999999999997E-2</v>
      </c>
      <c r="L733" s="578">
        <v>-7.0000000000000001E-3</v>
      </c>
      <c r="M733" s="595"/>
      <c r="N733" s="595"/>
      <c r="O733" s="595"/>
      <c r="P733" s="595"/>
      <c r="Q733" s="572"/>
      <c r="R733" s="573"/>
    </row>
    <row r="734" spans="1:18" s="585" customFormat="1" ht="16.350000000000001" customHeight="1" outlineLevel="2">
      <c r="A734" s="344"/>
      <c r="B734" s="604" t="s">
        <v>669</v>
      </c>
      <c r="C734" s="605"/>
      <c r="D734" s="606">
        <v>9614</v>
      </c>
      <c r="E734" s="606">
        <v>8932</v>
      </c>
      <c r="F734" s="606">
        <v>8154</v>
      </c>
      <c r="G734" s="606">
        <v>7046</v>
      </c>
      <c r="H734" s="606">
        <v>5851</v>
      </c>
      <c r="I734" s="606">
        <v>4772</v>
      </c>
      <c r="J734" s="606">
        <v>3186</v>
      </c>
      <c r="K734" s="607">
        <v>2542</v>
      </c>
      <c r="L734" s="608">
        <v>2192</v>
      </c>
      <c r="M734" s="608"/>
      <c r="N734" s="608"/>
      <c r="O734" s="608"/>
      <c r="P734" s="608"/>
      <c r="Q734" s="597"/>
      <c r="R734" s="573"/>
    </row>
    <row r="735" spans="1:18" s="585" customFormat="1" ht="16.350000000000001" customHeight="1" outlineLevel="2">
      <c r="A735" s="344"/>
      <c r="B735" s="609"/>
      <c r="C735" s="610"/>
      <c r="D735" s="610"/>
      <c r="E735" s="610"/>
      <c r="F735" s="610"/>
      <c r="G735" s="610"/>
      <c r="H735" s="610"/>
      <c r="I735" s="610"/>
      <c r="J735" s="610"/>
      <c r="K735" s="583"/>
      <c r="L735" s="611"/>
      <c r="M735" s="611"/>
      <c r="N735" s="611"/>
      <c r="O735" s="611"/>
      <c r="P735" s="611"/>
      <c r="Q735" s="612"/>
      <c r="R735" s="573"/>
    </row>
    <row r="736" spans="1:18" s="585" customFormat="1" ht="16.350000000000001" customHeight="1" outlineLevel="1">
      <c r="A736" s="344"/>
      <c r="B736" s="609"/>
      <c r="C736" s="613"/>
      <c r="D736" s="613"/>
      <c r="E736" s="613"/>
      <c r="F736" s="613"/>
      <c r="G736" s="613"/>
      <c r="H736" s="613"/>
      <c r="I736" s="613"/>
      <c r="J736" s="613"/>
      <c r="K736" s="614"/>
      <c r="L736" s="611"/>
      <c r="M736" s="611"/>
      <c r="N736" s="611"/>
      <c r="O736" s="611"/>
      <c r="P736" s="611"/>
      <c r="Q736" s="615"/>
      <c r="R736" s="573"/>
    </row>
    <row r="737" spans="1:18" s="620" customFormat="1" ht="16.350000000000001" customHeight="1" outlineLevel="1">
      <c r="A737" s="339"/>
      <c r="B737" s="616" t="s">
        <v>670</v>
      </c>
      <c r="C737" s="617"/>
      <c r="D737" s="617">
        <f>E743</f>
        <v>3958060</v>
      </c>
      <c r="E737" s="617">
        <f>F743</f>
        <v>3452400</v>
      </c>
      <c r="F737" s="617">
        <f t="shared" ref="F737:P737" si="86">G743</f>
        <v>3119560</v>
      </c>
      <c r="G737" s="617">
        <f t="shared" si="86"/>
        <v>2673310</v>
      </c>
      <c r="H737" s="617">
        <f t="shared" si="86"/>
        <v>2312200</v>
      </c>
      <c r="I737" s="617">
        <f t="shared" si="86"/>
        <v>1977460</v>
      </c>
      <c r="J737" s="617">
        <f t="shared" si="86"/>
        <v>1637830</v>
      </c>
      <c r="K737" s="617">
        <f t="shared" si="86"/>
        <v>1256851</v>
      </c>
      <c r="L737" s="617">
        <f t="shared" si="86"/>
        <v>981760</v>
      </c>
      <c r="M737" s="617">
        <f t="shared" si="86"/>
        <v>767142</v>
      </c>
      <c r="N737" s="617">
        <f t="shared" si="86"/>
        <v>640068</v>
      </c>
      <c r="O737" s="617">
        <f t="shared" si="86"/>
        <v>522916</v>
      </c>
      <c r="P737" s="617">
        <f t="shared" si="86"/>
        <v>382609</v>
      </c>
      <c r="Q737" s="618"/>
      <c r="R737" s="619"/>
    </row>
    <row r="738" spans="1:18" s="624" customFormat="1" ht="16.350000000000001" customHeight="1" outlineLevel="1">
      <c r="A738" s="339"/>
      <c r="B738" s="621" t="s">
        <v>671</v>
      </c>
      <c r="C738" s="622"/>
      <c r="D738" s="622">
        <v>53010</v>
      </c>
      <c r="E738" s="622">
        <v>66220</v>
      </c>
      <c r="F738" s="622">
        <v>43320</v>
      </c>
      <c r="G738" s="622">
        <v>81380</v>
      </c>
      <c r="H738" s="623">
        <v>37510</v>
      </c>
      <c r="I738" s="623">
        <v>52740</v>
      </c>
      <c r="J738" s="623">
        <v>35650</v>
      </c>
      <c r="K738" s="623">
        <v>46569</v>
      </c>
      <c r="L738" s="623">
        <v>27287</v>
      </c>
      <c r="M738" s="623">
        <v>30753</v>
      </c>
      <c r="N738" s="623">
        <v>10327</v>
      </c>
      <c r="O738" s="623">
        <v>23573</v>
      </c>
      <c r="P738" s="623">
        <v>28908</v>
      </c>
      <c r="Q738" s="618"/>
      <c r="R738" s="619"/>
    </row>
    <row r="739" spans="1:18" s="624" customFormat="1" ht="16.350000000000001" customHeight="1" outlineLevel="1">
      <c r="A739" s="339"/>
      <c r="B739" s="625" t="s">
        <v>672</v>
      </c>
      <c r="C739" s="622"/>
      <c r="D739" s="622">
        <v>81190</v>
      </c>
      <c r="E739" s="622">
        <v>132930</v>
      </c>
      <c r="F739" s="622">
        <v>73250</v>
      </c>
      <c r="G739" s="622">
        <v>111560</v>
      </c>
      <c r="H739" s="623">
        <v>83950</v>
      </c>
      <c r="I739" s="623">
        <v>99180</v>
      </c>
      <c r="J739" s="623">
        <v>56040</v>
      </c>
      <c r="K739" s="623">
        <v>103280</v>
      </c>
      <c r="L739" s="623">
        <v>55978</v>
      </c>
      <c r="M739" s="623">
        <v>42605</v>
      </c>
      <c r="N739" s="623">
        <v>28869</v>
      </c>
      <c r="O739" s="623">
        <v>24212</v>
      </c>
      <c r="P739" s="623">
        <v>36983</v>
      </c>
      <c r="Q739" s="618">
        <v>34142</v>
      </c>
      <c r="R739" s="619"/>
    </row>
    <row r="740" spans="1:18" s="624" customFormat="1" ht="16.350000000000001" customHeight="1" outlineLevel="1">
      <c r="A740" s="339"/>
      <c r="B740" s="626" t="s">
        <v>673</v>
      </c>
      <c r="C740" s="622"/>
      <c r="D740" s="622">
        <f>ROUND(112425,-1)</f>
        <v>112430</v>
      </c>
      <c r="E740" s="622">
        <v>189770</v>
      </c>
      <c r="F740" s="622">
        <v>83670</v>
      </c>
      <c r="G740" s="622">
        <v>131050</v>
      </c>
      <c r="H740" s="623">
        <v>86050</v>
      </c>
      <c r="I740" s="623">
        <v>66360</v>
      </c>
      <c r="J740" s="623">
        <v>83900</v>
      </c>
      <c r="K740" s="623">
        <v>80870</v>
      </c>
      <c r="L740" s="623">
        <v>59765</v>
      </c>
      <c r="M740" s="623">
        <v>56073</v>
      </c>
      <c r="N740" s="623">
        <v>30580</v>
      </c>
      <c r="O740" s="623">
        <v>22352</v>
      </c>
      <c r="P740" s="623">
        <v>31483</v>
      </c>
      <c r="Q740" s="618">
        <v>37433</v>
      </c>
      <c r="R740" s="619"/>
    </row>
    <row r="741" spans="1:18" s="624" customFormat="1" ht="16.350000000000001" customHeight="1" outlineLevel="1">
      <c r="A741" s="339"/>
      <c r="B741" s="626" t="s">
        <v>674</v>
      </c>
      <c r="C741" s="622"/>
      <c r="D741" s="622">
        <f>ROUND(239301,-1)</f>
        <v>239300</v>
      </c>
      <c r="E741" s="622">
        <v>116740</v>
      </c>
      <c r="F741" s="622">
        <v>132600</v>
      </c>
      <c r="G741" s="622">
        <v>122260</v>
      </c>
      <c r="H741" s="623">
        <v>153600</v>
      </c>
      <c r="I741" s="623">
        <v>116460</v>
      </c>
      <c r="J741" s="623">
        <v>164040</v>
      </c>
      <c r="K741" s="623">
        <v>150260</v>
      </c>
      <c r="L741" s="623">
        <v>132061</v>
      </c>
      <c r="M741" s="623">
        <v>85187</v>
      </c>
      <c r="N741" s="623">
        <v>57298</v>
      </c>
      <c r="O741" s="623">
        <v>47015</v>
      </c>
      <c r="P741" s="623">
        <v>42933</v>
      </c>
      <c r="Q741" s="618">
        <v>28566</v>
      </c>
      <c r="R741" s="619"/>
    </row>
    <row r="742" spans="1:18" s="631" customFormat="1" ht="16.350000000000001" customHeight="1" outlineLevel="1">
      <c r="A742" s="339"/>
      <c r="B742" s="627" t="s">
        <v>675</v>
      </c>
      <c r="C742" s="628"/>
      <c r="D742" s="629">
        <f>D738+D739+D740+D741</f>
        <v>485930</v>
      </c>
      <c r="E742" s="629">
        <f t="shared" ref="E742:P742" si="87">E738+E739+E740+E741</f>
        <v>505660</v>
      </c>
      <c r="F742" s="629">
        <f t="shared" si="87"/>
        <v>332840</v>
      </c>
      <c r="G742" s="629">
        <f t="shared" si="87"/>
        <v>446250</v>
      </c>
      <c r="H742" s="629">
        <f t="shared" si="87"/>
        <v>361110</v>
      </c>
      <c r="I742" s="629">
        <f t="shared" si="87"/>
        <v>334740</v>
      </c>
      <c r="J742" s="629">
        <f t="shared" si="87"/>
        <v>339630</v>
      </c>
      <c r="K742" s="629">
        <f>K738+K739+K740+K741</f>
        <v>380979</v>
      </c>
      <c r="L742" s="629">
        <f t="shared" si="87"/>
        <v>275091</v>
      </c>
      <c r="M742" s="629">
        <f t="shared" si="87"/>
        <v>214618</v>
      </c>
      <c r="N742" s="629">
        <f t="shared" si="87"/>
        <v>127074</v>
      </c>
      <c r="O742" s="629">
        <v>117152</v>
      </c>
      <c r="P742" s="629">
        <f t="shared" si="87"/>
        <v>140307</v>
      </c>
      <c r="Q742" s="630"/>
      <c r="R742" s="619"/>
    </row>
    <row r="743" spans="1:18" s="635" customFormat="1" ht="16.350000000000001" customHeight="1" outlineLevel="1">
      <c r="A743" s="339"/>
      <c r="B743" s="632" t="s">
        <v>676</v>
      </c>
      <c r="C743" s="633"/>
      <c r="D743" s="633">
        <f>D737+D742</f>
        <v>4443990</v>
      </c>
      <c r="E743" s="633">
        <f>E737+E742</f>
        <v>3958060</v>
      </c>
      <c r="F743" s="633">
        <f t="shared" ref="F743:P743" si="88">F737+F742</f>
        <v>3452400</v>
      </c>
      <c r="G743" s="633">
        <f t="shared" si="88"/>
        <v>3119560</v>
      </c>
      <c r="H743" s="633">
        <f t="shared" si="88"/>
        <v>2673310</v>
      </c>
      <c r="I743" s="633">
        <f t="shared" si="88"/>
        <v>2312200</v>
      </c>
      <c r="J743" s="633">
        <f>J737+J742</f>
        <v>1977460</v>
      </c>
      <c r="K743" s="633">
        <f>K737+K742</f>
        <v>1637830</v>
      </c>
      <c r="L743" s="633">
        <f t="shared" si="88"/>
        <v>1256851</v>
      </c>
      <c r="M743" s="633">
        <f t="shared" si="88"/>
        <v>981760</v>
      </c>
      <c r="N743" s="633">
        <f t="shared" si="88"/>
        <v>767142</v>
      </c>
      <c r="O743" s="633">
        <f t="shared" si="88"/>
        <v>640068</v>
      </c>
      <c r="P743" s="633">
        <f t="shared" si="88"/>
        <v>522916</v>
      </c>
      <c r="Q743" s="634">
        <v>382609</v>
      </c>
      <c r="R743" s="619"/>
    </row>
    <row r="744" spans="1:18" s="635" customFormat="1" ht="16.350000000000001" customHeight="1" outlineLevel="1">
      <c r="A744" s="339"/>
      <c r="B744" s="632"/>
      <c r="C744" s="636"/>
      <c r="D744" s="636"/>
      <c r="E744" s="636"/>
      <c r="F744" s="636"/>
      <c r="G744" s="636"/>
      <c r="H744" s="636"/>
      <c r="I744" s="636"/>
      <c r="J744" s="636"/>
      <c r="K744" s="636"/>
      <c r="L744" s="636"/>
      <c r="M744" s="636"/>
      <c r="N744" s="636"/>
      <c r="O744" s="636"/>
      <c r="P744" s="636"/>
      <c r="Q744" s="637"/>
      <c r="R744" s="619"/>
    </row>
    <row r="745" spans="1:18" s="644" customFormat="1" ht="16.350000000000001" customHeight="1" outlineLevel="1">
      <c r="A745" s="339"/>
      <c r="B745" s="638" t="s">
        <v>677</v>
      </c>
      <c r="C745" s="639"/>
      <c r="D745" s="640">
        <f>D742/E743</f>
        <v>0.12276974073157051</v>
      </c>
      <c r="E745" s="640">
        <f>E742/F743</f>
        <v>0.1464662263932337</v>
      </c>
      <c r="F745" s="640">
        <f t="shared" ref="F745:P745" si="89">F742/G743</f>
        <v>0.10669453384451653</v>
      </c>
      <c r="G745" s="640">
        <f t="shared" si="89"/>
        <v>0.16692789089181576</v>
      </c>
      <c r="H745" s="641">
        <f t="shared" si="89"/>
        <v>0.15617593633768706</v>
      </c>
      <c r="I745" s="641">
        <f t="shared" si="89"/>
        <v>0.16927776035924874</v>
      </c>
      <c r="J745" s="641">
        <f t="shared" si="89"/>
        <v>0.20736584382994572</v>
      </c>
      <c r="K745" s="641">
        <f t="shared" si="89"/>
        <v>0.30312184976580359</v>
      </c>
      <c r="L745" s="642">
        <f t="shared" si="89"/>
        <v>0.28020188233376792</v>
      </c>
      <c r="M745" s="642">
        <f t="shared" si="89"/>
        <v>0.27976306863657574</v>
      </c>
      <c r="N745" s="642">
        <f t="shared" si="89"/>
        <v>0.19853203097170927</v>
      </c>
      <c r="O745" s="642">
        <f t="shared" si="89"/>
        <v>0.22403598283471915</v>
      </c>
      <c r="P745" s="642">
        <f t="shared" si="89"/>
        <v>0.36671118557064786</v>
      </c>
      <c r="Q745" s="643"/>
      <c r="R745" s="619"/>
    </row>
    <row r="746" spans="1:18" s="644" customFormat="1" ht="16.350000000000001" customHeight="1" outlineLevel="1">
      <c r="A746" s="339"/>
      <c r="B746" s="638" t="s">
        <v>678</v>
      </c>
      <c r="C746" s="639"/>
      <c r="D746" s="640">
        <f t="shared" ref="D746:P746" si="90">D743/D10</f>
        <v>0.69182126561232704</v>
      </c>
      <c r="E746" s="640">
        <f t="shared" si="90"/>
        <v>0.68776737898223095</v>
      </c>
      <c r="F746" s="640">
        <f t="shared" si="90"/>
        <v>0.68125982946798036</v>
      </c>
      <c r="G746" s="640">
        <f t="shared" si="90"/>
        <v>0.7067870186599966</v>
      </c>
      <c r="H746" s="640">
        <f t="shared" si="90"/>
        <v>0.74452186796782749</v>
      </c>
      <c r="I746" s="640">
        <f t="shared" si="90"/>
        <v>0.76782073335148671</v>
      </c>
      <c r="J746" s="640">
        <f t="shared" si="90"/>
        <v>0.77569961479017435</v>
      </c>
      <c r="K746" s="640">
        <f t="shared" si="90"/>
        <v>0.83131826856701996</v>
      </c>
      <c r="L746" s="640">
        <f t="shared" si="90"/>
        <v>0.88362533218971018</v>
      </c>
      <c r="M746" s="640">
        <f t="shared" si="90"/>
        <v>0.92630490429459544</v>
      </c>
      <c r="N746" s="640">
        <f t="shared" si="90"/>
        <v>0.93155492303040532</v>
      </c>
      <c r="O746" s="640">
        <f t="shared" si="90"/>
        <v>0.98221459722738003</v>
      </c>
      <c r="P746" s="640">
        <f t="shared" si="90"/>
        <v>1</v>
      </c>
      <c r="Q746" s="645">
        <v>1</v>
      </c>
      <c r="R746" s="619"/>
    </row>
    <row r="747" spans="1:18" s="644" customFormat="1" ht="16.350000000000001" customHeight="1" outlineLevel="1">
      <c r="A747" s="339"/>
      <c r="B747" s="638" t="s">
        <v>679</v>
      </c>
      <c r="C747" s="639"/>
      <c r="D747" s="640">
        <f t="shared" ref="D747:P747" si="91">D742/D12</f>
        <v>0.72671123274559946</v>
      </c>
      <c r="E747" s="640">
        <f t="shared" si="91"/>
        <v>0.73575159689787129</v>
      </c>
      <c r="F747" s="640">
        <f t="shared" si="91"/>
        <v>0.50896857557917274</v>
      </c>
      <c r="G747" s="640">
        <f t="shared" si="91"/>
        <v>0.54217087038926959</v>
      </c>
      <c r="H747" s="640">
        <f t="shared" si="91"/>
        <v>0.6233988191830957</v>
      </c>
      <c r="I747" s="640">
        <f t="shared" si="91"/>
        <v>0.72435730978966506</v>
      </c>
      <c r="J747" s="640">
        <f t="shared" si="91"/>
        <v>0.58647901916767398</v>
      </c>
      <c r="K747" s="640">
        <f t="shared" si="91"/>
        <v>0.69549636715469709</v>
      </c>
      <c r="L747" s="640">
        <f t="shared" si="91"/>
        <v>0.75884451040376488</v>
      </c>
      <c r="M747" s="640">
        <f t="shared" si="91"/>
        <v>0.90801320020308007</v>
      </c>
      <c r="N747" s="640">
        <f t="shared" si="91"/>
        <v>0.73945149520800235</v>
      </c>
      <c r="O747" s="640">
        <f t="shared" si="91"/>
        <v>0.9099749887371642</v>
      </c>
      <c r="P747" s="640">
        <f t="shared" si="91"/>
        <v>1</v>
      </c>
      <c r="Q747" s="646">
        <v>1</v>
      </c>
      <c r="R747" s="619"/>
    </row>
    <row r="748" spans="1:18" s="650" customFormat="1" ht="16.350000000000001" customHeight="1" outlineLevel="1">
      <c r="A748" s="339"/>
      <c r="B748" s="647"/>
      <c r="C748" s="648"/>
      <c r="D748" s="648"/>
      <c r="E748" s="648"/>
      <c r="F748" s="648"/>
      <c r="G748" s="648"/>
      <c r="H748" s="648"/>
      <c r="I748" s="648"/>
      <c r="J748" s="648"/>
      <c r="K748" s="648"/>
      <c r="L748" s="648"/>
      <c r="M748" s="648"/>
      <c r="N748" s="648"/>
      <c r="O748" s="648"/>
      <c r="P748" s="648"/>
      <c r="Q748" s="649"/>
      <c r="R748" s="619"/>
    </row>
    <row r="749" spans="1:18" s="655" customFormat="1" ht="16.350000000000001" customHeight="1" outlineLevel="1">
      <c r="A749" s="344"/>
      <c r="B749" s="651" t="s">
        <v>680</v>
      </c>
      <c r="C749" s="652"/>
      <c r="D749" s="652">
        <f>ROUND(917853468436.335,-3)</f>
        <v>917853468000</v>
      </c>
      <c r="E749" s="652">
        <v>846112980000</v>
      </c>
      <c r="F749" s="652">
        <v>790157070000</v>
      </c>
      <c r="G749" s="652">
        <v>701274950000</v>
      </c>
      <c r="H749" s="653">
        <v>577775770000</v>
      </c>
      <c r="I749" s="653">
        <v>450801480000</v>
      </c>
      <c r="J749" s="653">
        <v>364236400000</v>
      </c>
      <c r="K749" s="653">
        <v>287731790000</v>
      </c>
      <c r="L749" s="653">
        <f>212313020000-L955</f>
        <v>212311590000</v>
      </c>
      <c r="M749" s="653">
        <f>156526030000</f>
        <v>156526030000</v>
      </c>
      <c r="N749" s="653">
        <v>126903000000</v>
      </c>
      <c r="O749" s="653">
        <v>93079000000</v>
      </c>
      <c r="P749" s="653">
        <v>68100000000</v>
      </c>
      <c r="Q749" s="654">
        <v>44532000000</v>
      </c>
      <c r="R749" s="573"/>
    </row>
    <row r="750" spans="1:18" s="659" customFormat="1" ht="16.350000000000001" customHeight="1" outlineLevel="1">
      <c r="A750" s="344"/>
      <c r="B750" s="656" t="s">
        <v>681</v>
      </c>
      <c r="C750" s="577"/>
      <c r="D750" s="577">
        <v>9.1300000000000006E-2</v>
      </c>
      <c r="E750" s="577">
        <v>5.21E-2</v>
      </c>
      <c r="F750" s="577">
        <v>0.1532</v>
      </c>
      <c r="G750" s="577">
        <v>0.29020000000000001</v>
      </c>
      <c r="H750" s="577">
        <v>0.21</v>
      </c>
      <c r="I750" s="577">
        <v>0.24490000000000001</v>
      </c>
      <c r="J750" s="577">
        <v>0.2611</v>
      </c>
      <c r="K750" s="577">
        <v>0.47945771572002194</v>
      </c>
      <c r="L750" s="577">
        <v>0.25577688819036304</v>
      </c>
      <c r="M750" s="576"/>
      <c r="N750" s="576"/>
      <c r="O750" s="657">
        <v>0.48136775350566485</v>
      </c>
      <c r="P750" s="576">
        <v>0.57412595267839217</v>
      </c>
      <c r="Q750" s="658"/>
      <c r="R750" s="573"/>
    </row>
    <row r="751" spans="1:18" s="659" customFormat="1" ht="16.350000000000001" customHeight="1" outlineLevel="1">
      <c r="A751" s="344"/>
      <c r="B751" s="656" t="s">
        <v>682</v>
      </c>
      <c r="C751" s="577"/>
      <c r="D751" s="577">
        <v>6.4399999999999999E-2</v>
      </c>
      <c r="E751" s="577">
        <v>8.6199999999999999E-2</v>
      </c>
      <c r="F751" s="577">
        <v>0.12330000000000001</v>
      </c>
      <c r="G751" s="577">
        <v>0.24740000000000001</v>
      </c>
      <c r="H751" s="577">
        <v>0.26860000000000001</v>
      </c>
      <c r="I751" s="577">
        <v>0.26540000000000002</v>
      </c>
      <c r="J751" s="577">
        <v>0.24310000000000001</v>
      </c>
      <c r="K751" s="577">
        <v>0.42245372164987272</v>
      </c>
      <c r="L751" s="577">
        <v>0.32408029297309837</v>
      </c>
      <c r="M751" s="576"/>
      <c r="N751" s="576"/>
      <c r="O751" s="657">
        <v>0.40492322934654679</v>
      </c>
      <c r="P751" s="576">
        <v>0.4905298899316286</v>
      </c>
      <c r="Q751" s="658"/>
      <c r="R751" s="573"/>
    </row>
    <row r="752" spans="1:18" s="659" customFormat="1" ht="16.350000000000001" customHeight="1" outlineLevel="1">
      <c r="A752" s="344"/>
      <c r="B752" s="656" t="s">
        <v>683</v>
      </c>
      <c r="C752" s="577"/>
      <c r="D752" s="577">
        <v>8.3525907823958245E-2</v>
      </c>
      <c r="E752" s="577">
        <v>7.2300000000000003E-2</v>
      </c>
      <c r="F752" s="577">
        <v>0.13669999999999999</v>
      </c>
      <c r="G752" s="577">
        <v>0.1799</v>
      </c>
      <c r="H752" s="577">
        <v>0.31900000000000001</v>
      </c>
      <c r="I752" s="577">
        <v>0.23760000000000001</v>
      </c>
      <c r="J752" s="577">
        <v>0.26996923368627934</v>
      </c>
      <c r="K752" s="577">
        <v>0.31116889430532058</v>
      </c>
      <c r="L752" s="577">
        <v>0.36913362437167052</v>
      </c>
      <c r="M752" s="576"/>
      <c r="N752" s="576"/>
      <c r="O752" s="657">
        <v>0.33760222516336702</v>
      </c>
      <c r="P752" s="576">
        <v>0.52447767999323758</v>
      </c>
      <c r="Q752" s="658"/>
      <c r="R752" s="573"/>
    </row>
    <row r="753" spans="1:18" s="659" customFormat="1" ht="16.350000000000001" customHeight="1" outlineLevel="1">
      <c r="A753" s="344"/>
      <c r="B753" s="656" t="s">
        <v>684</v>
      </c>
      <c r="D753" s="577">
        <v>9.9873232331653836E-2</v>
      </c>
      <c r="E753" s="577">
        <v>7.17E-2</v>
      </c>
      <c r="F753" s="577">
        <v>9.8000000000000004E-2</v>
      </c>
      <c r="G753" s="577">
        <v>0.15620000000000001</v>
      </c>
      <c r="H753" s="577">
        <v>0.31990000000000002</v>
      </c>
      <c r="I753" s="577">
        <v>0.20799999999999999</v>
      </c>
      <c r="J753" s="577">
        <v>0.28649999999999998</v>
      </c>
      <c r="K753" s="577">
        <v>0.25271611230513247</v>
      </c>
      <c r="L753" s="577">
        <v>0.45478485805946378</v>
      </c>
      <c r="M753" s="576"/>
      <c r="N753" s="576"/>
      <c r="O753" s="657">
        <v>0.32160932415516363</v>
      </c>
      <c r="P753" s="576">
        <v>0.53445992228861727</v>
      </c>
      <c r="Q753" s="658"/>
      <c r="R753" s="573"/>
    </row>
    <row r="754" spans="1:18" s="660" customFormat="1" ht="16.350000000000001" customHeight="1" outlineLevel="1">
      <c r="A754" s="344"/>
      <c r="B754" s="656"/>
      <c r="D754" s="661"/>
      <c r="E754" s="661"/>
      <c r="F754" s="661"/>
      <c r="G754" s="661"/>
      <c r="H754" s="661"/>
      <c r="I754" s="661"/>
      <c r="J754" s="661"/>
      <c r="K754" s="661"/>
      <c r="L754" s="661"/>
      <c r="M754" s="662"/>
      <c r="N754" s="662"/>
      <c r="O754" s="661"/>
      <c r="P754" s="661"/>
      <c r="Q754" s="663"/>
      <c r="R754" s="573"/>
    </row>
    <row r="755" spans="1:18" s="669" customFormat="1" ht="16.350000000000001" customHeight="1" outlineLevel="1">
      <c r="A755" s="344"/>
      <c r="B755" s="664" t="s">
        <v>677</v>
      </c>
      <c r="C755" s="665"/>
      <c r="D755" s="666">
        <f t="shared" ref="D755:N755" si="92">D749/E749-1</f>
        <v>8.4788308057867079E-2</v>
      </c>
      <c r="E755" s="666">
        <f t="shared" si="92"/>
        <v>7.0816185951484201E-2</v>
      </c>
      <c r="F755" s="666">
        <f t="shared" si="92"/>
        <v>0.12674361176026605</v>
      </c>
      <c r="G755" s="666">
        <f t="shared" si="92"/>
        <v>0.21374932354813003</v>
      </c>
      <c r="H755" s="666">
        <f t="shared" si="92"/>
        <v>0.28166342754686613</v>
      </c>
      <c r="I755" s="666">
        <f t="shared" si="92"/>
        <v>0.23766180425679595</v>
      </c>
      <c r="J755" s="666">
        <f t="shared" si="92"/>
        <v>0.26588862495868115</v>
      </c>
      <c r="K755" s="666">
        <f t="shared" si="92"/>
        <v>0.35523355083912289</v>
      </c>
      <c r="L755" s="666">
        <f t="shared" si="92"/>
        <v>0.35639797418997987</v>
      </c>
      <c r="M755" s="666">
        <f t="shared" si="92"/>
        <v>0.23343049415695449</v>
      </c>
      <c r="N755" s="666">
        <f t="shared" si="92"/>
        <v>0.36339023839963902</v>
      </c>
      <c r="O755" s="667">
        <v>0.37766091324284057</v>
      </c>
      <c r="P755" s="667">
        <v>0.5292</v>
      </c>
      <c r="Q755" s="668"/>
      <c r="R755" s="573"/>
    </row>
    <row r="756" spans="1:18" s="669" customFormat="1" ht="16.350000000000001" customHeight="1" outlineLevel="1">
      <c r="A756" s="344"/>
      <c r="B756" s="664" t="s">
        <v>685</v>
      </c>
      <c r="C756" s="665"/>
      <c r="D756" s="670">
        <f>D755-D745</f>
        <v>-3.7981432673703436E-2</v>
      </c>
      <c r="E756" s="670">
        <f>E755-E745</f>
        <v>-7.56500404417495E-2</v>
      </c>
      <c r="F756" s="670">
        <f t="shared" ref="F756:P756" si="93">F755-F745</f>
        <v>2.0049077915749516E-2</v>
      </c>
      <c r="G756" s="670">
        <f t="shared" si="93"/>
        <v>4.6821432656314277E-2</v>
      </c>
      <c r="H756" s="670">
        <f t="shared" si="93"/>
        <v>0.12548749120917907</v>
      </c>
      <c r="I756" s="670">
        <f t="shared" si="93"/>
        <v>6.8384043897547209E-2</v>
      </c>
      <c r="J756" s="670">
        <f t="shared" si="93"/>
        <v>5.8522781128735435E-2</v>
      </c>
      <c r="K756" s="670">
        <f t="shared" si="93"/>
        <v>5.2111701073319305E-2</v>
      </c>
      <c r="L756" s="670">
        <f t="shared" si="93"/>
        <v>7.6196091856211956E-2</v>
      </c>
      <c r="M756" s="670">
        <f t="shared" si="93"/>
        <v>-4.6332574479621247E-2</v>
      </c>
      <c r="N756" s="670">
        <f t="shared" si="93"/>
        <v>0.16485820742792975</v>
      </c>
      <c r="O756" s="670">
        <f t="shared" si="93"/>
        <v>0.15362493040812142</v>
      </c>
      <c r="P756" s="670">
        <f t="shared" si="93"/>
        <v>0.16248881442935215</v>
      </c>
      <c r="Q756" s="668"/>
      <c r="R756" s="573"/>
    </row>
    <row r="757" spans="1:18" s="669" customFormat="1" ht="16.350000000000001" customHeight="1" outlineLevel="1">
      <c r="A757" s="344"/>
      <c r="B757" s="664" t="s">
        <v>686</v>
      </c>
      <c r="C757" s="665"/>
      <c r="D757" s="666">
        <f t="shared" ref="D757:Q757" si="94">D749/D3</f>
        <v>0.7419902977477586</v>
      </c>
      <c r="E757" s="666">
        <f t="shared" si="94"/>
        <v>0.74005275591689601</v>
      </c>
      <c r="F757" s="666">
        <f t="shared" si="94"/>
        <v>0.73515870485329748</v>
      </c>
      <c r="G757" s="666">
        <f t="shared" si="94"/>
        <v>0.73770788126204023</v>
      </c>
      <c r="H757" s="666">
        <f t="shared" si="94"/>
        <v>0.75671925067057066</v>
      </c>
      <c r="I757" s="666">
        <f t="shared" si="94"/>
        <v>0.7776530301595902</v>
      </c>
      <c r="J757" s="666">
        <f t="shared" si="94"/>
        <v>0.81182963729327051</v>
      </c>
      <c r="K757" s="666">
        <f t="shared" si="94"/>
        <v>0.85711001999586245</v>
      </c>
      <c r="L757" s="666">
        <f t="shared" si="94"/>
        <v>0.89888817878388294</v>
      </c>
      <c r="M757" s="666">
        <f t="shared" si="94"/>
        <v>0.92149497321250429</v>
      </c>
      <c r="N757" s="666">
        <f t="shared" si="94"/>
        <v>0.95472340684203771</v>
      </c>
      <c r="O757" s="666">
        <f t="shared" si="94"/>
        <v>0.98982988844088948</v>
      </c>
      <c r="P757" s="666">
        <f t="shared" si="94"/>
        <v>1.0000038179294077</v>
      </c>
      <c r="Q757" s="666">
        <f t="shared" si="94"/>
        <v>1.000006961334726</v>
      </c>
      <c r="R757" s="573"/>
    </row>
    <row r="758" spans="1:18" s="674" customFormat="1" ht="16.350000000000001" customHeight="1" outlineLevel="1">
      <c r="A758" s="344"/>
      <c r="B758" s="671" t="s">
        <v>687</v>
      </c>
      <c r="C758" s="672"/>
      <c r="D758" s="673">
        <f>(D749/AVERAGE(D743:E743))/365</f>
        <v>598.58416353543203</v>
      </c>
      <c r="E758" s="673">
        <f>(E749/AVERAGE(E743:F743))/365</f>
        <v>625.63396966575829</v>
      </c>
      <c r="F758" s="673">
        <f>(F749/AVERAGE(F743:G743))/366</f>
        <v>657.00311577083721</v>
      </c>
      <c r="G758" s="673">
        <f t="shared" ref="G758:L758" si="95">(G749/AVERAGE(G743:H743))/365</f>
        <v>663.33310876187875</v>
      </c>
      <c r="H758" s="673">
        <f t="shared" si="95"/>
        <v>635.01921170291234</v>
      </c>
      <c r="I758" s="673">
        <f t="shared" si="95"/>
        <v>575.83703507746793</v>
      </c>
      <c r="J758" s="673">
        <f>(J749/AVERAGE(J743:K743))/366</f>
        <v>550.54030009488986</v>
      </c>
      <c r="K758" s="673">
        <f t="shared" si="95"/>
        <v>544.65847806552961</v>
      </c>
      <c r="L758" s="673">
        <f t="shared" si="95"/>
        <v>519.6754496793734</v>
      </c>
      <c r="M758" s="673">
        <f>(M749/AVERAGE(M743:N743))/365</f>
        <v>490.4087688803196</v>
      </c>
      <c r="N758" s="673">
        <f>(N749/AVERAGE(N743:O743))/366</f>
        <v>492.79000035065314</v>
      </c>
      <c r="O758" s="673">
        <f>(O749/AVERAGE(O743:P743))/365</f>
        <v>438.54594543709902</v>
      </c>
      <c r="P758" s="673">
        <f>(P749/AVERAGE(P743:Q743))/365</f>
        <v>412.08214564093407</v>
      </c>
      <c r="Q758" s="673"/>
      <c r="R758" s="573"/>
    </row>
    <row r="759" spans="1:18" s="256" customFormat="1" ht="16.350000000000001" customHeight="1" outlineLevel="1">
      <c r="A759" s="344"/>
      <c r="B759" s="675"/>
      <c r="C759" s="676"/>
      <c r="D759" s="676"/>
      <c r="E759" s="676"/>
      <c r="F759" s="676"/>
      <c r="G759" s="676"/>
      <c r="H759" s="677"/>
      <c r="I759" s="677"/>
      <c r="J759" s="677"/>
      <c r="K759" s="677"/>
      <c r="L759" s="677"/>
      <c r="M759" s="676"/>
      <c r="N759" s="676"/>
      <c r="O759" s="676"/>
      <c r="P759" s="676"/>
      <c r="Q759" s="678"/>
      <c r="R759" s="573"/>
    </row>
    <row r="760" spans="1:18" s="635" customFormat="1" ht="16.350000000000001" customHeight="1" outlineLevel="1">
      <c r="A760" s="339"/>
      <c r="B760" s="679" t="s">
        <v>688</v>
      </c>
      <c r="C760" s="680"/>
      <c r="D760" s="680">
        <f t="shared" ref="D760:P760" si="96">E766</f>
        <v>12125</v>
      </c>
      <c r="E760" s="680">
        <f t="shared" si="96"/>
        <v>10521</v>
      </c>
      <c r="F760" s="680">
        <f t="shared" si="96"/>
        <v>9594</v>
      </c>
      <c r="G760" s="680">
        <f t="shared" si="96"/>
        <v>8344</v>
      </c>
      <c r="H760" s="680">
        <f t="shared" si="96"/>
        <v>7200</v>
      </c>
      <c r="I760" s="680">
        <f t="shared" si="96"/>
        <v>6046</v>
      </c>
      <c r="J760" s="680">
        <f t="shared" si="96"/>
        <v>5006</v>
      </c>
      <c r="K760" s="680">
        <f t="shared" si="96"/>
        <v>4002</v>
      </c>
      <c r="L760" s="680">
        <f t="shared" si="96"/>
        <v>3204</v>
      </c>
      <c r="M760" s="680">
        <f t="shared" si="96"/>
        <v>2568</v>
      </c>
      <c r="N760" s="680">
        <f t="shared" si="96"/>
        <v>2194</v>
      </c>
      <c r="O760" s="680">
        <f t="shared" si="96"/>
        <v>1893</v>
      </c>
      <c r="P760" s="680">
        <f t="shared" si="96"/>
        <v>1501</v>
      </c>
      <c r="Q760" s="681">
        <f>Q766-Q765</f>
        <v>1015</v>
      </c>
      <c r="R760" s="619"/>
    </row>
    <row r="761" spans="1:18" s="650" customFormat="1" ht="16.350000000000001" customHeight="1" outlineLevel="1">
      <c r="A761" s="339"/>
      <c r="B761" s="621" t="s">
        <v>689</v>
      </c>
      <c r="C761" s="682"/>
      <c r="D761" s="682">
        <v>158</v>
      </c>
      <c r="E761" s="682">
        <v>188</v>
      </c>
      <c r="F761" s="682">
        <v>121</v>
      </c>
      <c r="G761" s="682">
        <v>237</v>
      </c>
      <c r="H761" s="682">
        <v>141</v>
      </c>
      <c r="I761" s="682">
        <v>163</v>
      </c>
      <c r="J761" s="682">
        <v>98</v>
      </c>
      <c r="K761" s="682">
        <v>126</v>
      </c>
      <c r="L761" s="682">
        <v>89</v>
      </c>
      <c r="M761" s="682">
        <v>94</v>
      </c>
      <c r="N761" s="682">
        <v>39</v>
      </c>
      <c r="O761" s="682">
        <v>37</v>
      </c>
      <c r="P761" s="682">
        <v>74</v>
      </c>
      <c r="Q761" s="683">
        <v>103</v>
      </c>
      <c r="R761" s="619"/>
    </row>
    <row r="762" spans="1:18" s="650" customFormat="1" ht="16.350000000000001" customHeight="1" outlineLevel="1">
      <c r="A762" s="339"/>
      <c r="B762" s="684" t="s">
        <v>690</v>
      </c>
      <c r="C762" s="685"/>
      <c r="D762" s="686">
        <v>220</v>
      </c>
      <c r="E762" s="686">
        <v>405</v>
      </c>
      <c r="F762" s="686">
        <v>187</v>
      </c>
      <c r="G762" s="686">
        <v>309</v>
      </c>
      <c r="H762" s="685">
        <v>273</v>
      </c>
      <c r="I762" s="685">
        <v>343</v>
      </c>
      <c r="J762" s="685">
        <f>262-J761</f>
        <v>164</v>
      </c>
      <c r="K762" s="685">
        <f>364-K761</f>
        <v>238</v>
      </c>
      <c r="L762" s="685">
        <f>260-L761</f>
        <v>171</v>
      </c>
      <c r="M762" s="685">
        <f>222-M761</f>
        <v>128</v>
      </c>
      <c r="N762" s="685">
        <v>81</v>
      </c>
      <c r="O762" s="685">
        <v>79</v>
      </c>
      <c r="P762" s="685">
        <v>108</v>
      </c>
      <c r="Q762" s="687">
        <v>136</v>
      </c>
      <c r="R762" s="619"/>
    </row>
    <row r="763" spans="1:18" s="650" customFormat="1" ht="16.350000000000001" customHeight="1" outlineLevel="1">
      <c r="A763" s="339"/>
      <c r="B763" s="626" t="s">
        <v>691</v>
      </c>
      <c r="D763" s="688">
        <v>310</v>
      </c>
      <c r="E763" s="688">
        <v>629</v>
      </c>
      <c r="F763" s="688">
        <v>236</v>
      </c>
      <c r="G763" s="688">
        <v>356</v>
      </c>
      <c r="H763" s="648">
        <v>277</v>
      </c>
      <c r="I763" s="648">
        <v>231</v>
      </c>
      <c r="J763" s="648">
        <f>517-(J762+J761)</f>
        <v>255</v>
      </c>
      <c r="K763" s="648">
        <f>591-(K762+K761)</f>
        <v>227</v>
      </c>
      <c r="L763" s="648">
        <f>454-(L762+L761)</f>
        <v>194</v>
      </c>
      <c r="M763" s="648">
        <f>392-(M762+M761)</f>
        <v>170</v>
      </c>
      <c r="N763" s="648">
        <v>82</v>
      </c>
      <c r="O763" s="648">
        <v>60</v>
      </c>
      <c r="P763" s="648">
        <v>79</v>
      </c>
      <c r="Q763" s="649">
        <v>124</v>
      </c>
      <c r="R763" s="619"/>
    </row>
    <row r="764" spans="1:18" s="650" customFormat="1" ht="16.350000000000001" customHeight="1" outlineLevel="1">
      <c r="A764" s="339"/>
      <c r="B764" s="626" t="s">
        <v>692</v>
      </c>
      <c r="C764" s="648"/>
      <c r="D764" s="689">
        <v>614</v>
      </c>
      <c r="E764" s="689">
        <v>382</v>
      </c>
      <c r="F764" s="689">
        <v>383</v>
      </c>
      <c r="G764" s="689">
        <v>348</v>
      </c>
      <c r="H764" s="648">
        <v>453</v>
      </c>
      <c r="I764" s="648">
        <v>417</v>
      </c>
      <c r="J764" s="648">
        <f>J765-(J763+J762+J761)</f>
        <v>523</v>
      </c>
      <c r="K764" s="648">
        <f>K765-(K763+K762+K761)</f>
        <v>413</v>
      </c>
      <c r="L764" s="648">
        <f>L765-(L763+L762+L761)</f>
        <v>344</v>
      </c>
      <c r="M764" s="648">
        <f>M765-(M763+M762+M761)</f>
        <v>244</v>
      </c>
      <c r="N764" s="648">
        <v>174</v>
      </c>
      <c r="O764" s="648">
        <v>125</v>
      </c>
      <c r="P764" s="648">
        <v>132</v>
      </c>
      <c r="Q764" s="649">
        <v>123</v>
      </c>
      <c r="R764" s="619"/>
    </row>
    <row r="765" spans="1:18" s="635" customFormat="1" ht="16.350000000000001" customHeight="1" outlineLevel="1">
      <c r="A765" s="339"/>
      <c r="B765" s="690" t="s">
        <v>693</v>
      </c>
      <c r="C765" s="691"/>
      <c r="D765" s="691">
        <f>D764+D763+D762+D761</f>
        <v>1302</v>
      </c>
      <c r="E765" s="691">
        <f>E764+E763+E762+E761</f>
        <v>1604</v>
      </c>
      <c r="F765" s="691">
        <f t="shared" ref="F765:P765" si="97">F768+F769</f>
        <v>927</v>
      </c>
      <c r="G765" s="691">
        <f t="shared" si="97"/>
        <v>1250</v>
      </c>
      <c r="H765" s="691">
        <f t="shared" si="97"/>
        <v>1144</v>
      </c>
      <c r="I765" s="691">
        <f t="shared" si="97"/>
        <v>1154</v>
      </c>
      <c r="J765" s="691">
        <f t="shared" si="97"/>
        <v>1040</v>
      </c>
      <c r="K765" s="691">
        <f t="shared" si="97"/>
        <v>1004</v>
      </c>
      <c r="L765" s="691">
        <f t="shared" si="97"/>
        <v>798</v>
      </c>
      <c r="M765" s="691">
        <f t="shared" si="97"/>
        <v>636</v>
      </c>
      <c r="N765" s="691">
        <f t="shared" si="97"/>
        <v>374</v>
      </c>
      <c r="O765" s="691">
        <f t="shared" si="97"/>
        <v>301</v>
      </c>
      <c r="P765" s="691">
        <f t="shared" si="97"/>
        <v>393</v>
      </c>
      <c r="Q765" s="692">
        <v>486</v>
      </c>
      <c r="R765" s="619"/>
    </row>
    <row r="766" spans="1:18" s="635" customFormat="1" ht="16.350000000000001" customHeight="1" outlineLevel="1">
      <c r="A766" s="339"/>
      <c r="B766" s="632" t="s">
        <v>694</v>
      </c>
      <c r="C766" s="633"/>
      <c r="D766" s="633">
        <f>E766+D765</f>
        <v>13427</v>
      </c>
      <c r="E766" s="633">
        <f>F766+E765</f>
        <v>12125</v>
      </c>
      <c r="F766" s="633">
        <f>G766+F765</f>
        <v>10521</v>
      </c>
      <c r="G766" s="633">
        <v>9594</v>
      </c>
      <c r="H766" s="633">
        <v>8344</v>
      </c>
      <c r="I766" s="633">
        <v>7200</v>
      </c>
      <c r="J766" s="633">
        <v>6046</v>
      </c>
      <c r="K766" s="633">
        <v>5006</v>
      </c>
      <c r="L766" s="633">
        <v>4002</v>
      </c>
      <c r="M766" s="633">
        <v>3204</v>
      </c>
      <c r="N766" s="633">
        <v>2568</v>
      </c>
      <c r="O766" s="633">
        <v>2194</v>
      </c>
      <c r="P766" s="633">
        <v>1893</v>
      </c>
      <c r="Q766" s="693">
        <v>1501</v>
      </c>
      <c r="R766" s="619"/>
    </row>
    <row r="767" spans="1:18" s="635" customFormat="1" ht="16.350000000000001" customHeight="1" outlineLevel="1">
      <c r="A767" s="339"/>
      <c r="B767" s="632"/>
      <c r="C767" s="636"/>
      <c r="D767" s="694"/>
      <c r="E767" s="694"/>
      <c r="F767" s="694"/>
      <c r="G767" s="695"/>
      <c r="H767" s="695"/>
      <c r="I767" s="695"/>
      <c r="J767" s="695"/>
      <c r="K767" s="695"/>
      <c r="L767" s="695"/>
      <c r="M767" s="695"/>
      <c r="N767" s="695"/>
      <c r="O767" s="695"/>
      <c r="P767" s="695"/>
      <c r="Q767" s="695"/>
      <c r="R767" s="619"/>
    </row>
    <row r="768" spans="1:18" s="699" customFormat="1" ht="16.350000000000001" customHeight="1" outlineLevel="1">
      <c r="A768" s="696"/>
      <c r="B768" s="697" t="s">
        <v>695</v>
      </c>
      <c r="C768" s="694"/>
      <c r="D768" s="694">
        <v>1595</v>
      </c>
      <c r="E768" s="694">
        <v>1825</v>
      </c>
      <c r="F768" s="694">
        <v>1117</v>
      </c>
      <c r="G768" s="694">
        <v>1412</v>
      </c>
      <c r="H768" s="694">
        <v>1243</v>
      </c>
      <c r="I768" s="694">
        <v>1239</v>
      </c>
      <c r="J768" s="694">
        <v>1127</v>
      </c>
      <c r="K768" s="694">
        <v>1085</v>
      </c>
      <c r="L768" s="694">
        <v>863</v>
      </c>
      <c r="M768" s="694">
        <v>702</v>
      </c>
      <c r="N768" s="694">
        <v>452</v>
      </c>
      <c r="O768" s="694">
        <v>409</v>
      </c>
      <c r="P768" s="694">
        <v>513</v>
      </c>
      <c r="Q768" s="698"/>
      <c r="R768" s="619"/>
    </row>
    <row r="769" spans="1:18" s="699" customFormat="1" ht="16.350000000000001" customHeight="1" outlineLevel="1">
      <c r="A769" s="696"/>
      <c r="B769" s="697" t="s">
        <v>696</v>
      </c>
      <c r="C769" s="694"/>
      <c r="D769" s="694">
        <v>-293</v>
      </c>
      <c r="E769" s="694">
        <v>-221</v>
      </c>
      <c r="F769" s="694">
        <v>-190</v>
      </c>
      <c r="G769" s="694">
        <v>-162</v>
      </c>
      <c r="H769" s="694">
        <v>-99</v>
      </c>
      <c r="I769" s="694">
        <v>-85</v>
      </c>
      <c r="J769" s="694">
        <v>-87</v>
      </c>
      <c r="K769" s="694">
        <v>-81</v>
      </c>
      <c r="L769" s="694">
        <v>-65</v>
      </c>
      <c r="M769" s="694">
        <v>-66</v>
      </c>
      <c r="N769" s="694">
        <v>-78</v>
      </c>
      <c r="O769" s="694">
        <v>-108</v>
      </c>
      <c r="P769" s="694">
        <v>-120</v>
      </c>
      <c r="Q769" s="698"/>
      <c r="R769" s="619"/>
    </row>
    <row r="770" spans="1:18" s="703" customFormat="1" ht="16.350000000000001" customHeight="1" outlineLevel="1">
      <c r="A770" s="339"/>
      <c r="B770" s="700" t="s">
        <v>697</v>
      </c>
      <c r="C770" s="701"/>
      <c r="D770" s="701">
        <v>330.97385864303271</v>
      </c>
      <c r="E770" s="701">
        <v>326</v>
      </c>
      <c r="F770" s="701">
        <v>328</v>
      </c>
      <c r="G770" s="701">
        <v>325</v>
      </c>
      <c r="H770" s="701">
        <v>320</v>
      </c>
      <c r="I770" s="701">
        <v>321</v>
      </c>
      <c r="J770" s="701">
        <v>327.17339192968439</v>
      </c>
      <c r="K770" s="701">
        <v>327.17339192968439</v>
      </c>
      <c r="L770" s="701">
        <v>314</v>
      </c>
      <c r="M770" s="701">
        <v>305</v>
      </c>
      <c r="N770" s="701">
        <v>298.73130841121497</v>
      </c>
      <c r="O770" s="701">
        <v>291.73564266180495</v>
      </c>
      <c r="P770" s="701">
        <v>276.2366613840465</v>
      </c>
      <c r="Q770" s="702"/>
      <c r="R770" s="619"/>
    </row>
    <row r="771" spans="1:18" s="699" customFormat="1" ht="16.350000000000001" customHeight="1" outlineLevel="1">
      <c r="A771" s="696"/>
      <c r="B771" s="697" t="s">
        <v>698</v>
      </c>
      <c r="C771" s="694"/>
      <c r="D771" s="694">
        <v>475.94034408281823</v>
      </c>
      <c r="E771" s="694">
        <v>468</v>
      </c>
      <c r="F771" s="694">
        <v>459</v>
      </c>
      <c r="G771" s="694">
        <v>455</v>
      </c>
      <c r="H771" s="694">
        <v>459</v>
      </c>
      <c r="I771" s="694">
        <v>458</v>
      </c>
      <c r="J771" s="694">
        <v>466</v>
      </c>
      <c r="K771" s="694">
        <v>467</v>
      </c>
      <c r="L771" s="694">
        <v>469</v>
      </c>
      <c r="M771" s="694">
        <v>468</v>
      </c>
      <c r="N771" s="694">
        <v>458</v>
      </c>
      <c r="O771" s="694">
        <v>443</v>
      </c>
      <c r="P771" s="694">
        <v>410</v>
      </c>
      <c r="Q771" s="698"/>
      <c r="R771" s="619"/>
    </row>
    <row r="772" spans="1:18" s="705" customFormat="1" ht="16.350000000000001" customHeight="1" outlineLevel="1">
      <c r="A772" s="339"/>
      <c r="B772" s="638" t="s">
        <v>699</v>
      </c>
      <c r="C772" s="639"/>
      <c r="D772" s="639">
        <f>D770/D771</f>
        <v>0.6954103865282748</v>
      </c>
      <c r="E772" s="639">
        <f>E770/E771</f>
        <v>0.69658119658119655</v>
      </c>
      <c r="F772" s="639">
        <f t="shared" ref="F772:P772" si="98">F770/F771</f>
        <v>0.71459694989106759</v>
      </c>
      <c r="G772" s="639">
        <f t="shared" si="98"/>
        <v>0.7142857142857143</v>
      </c>
      <c r="H772" s="639">
        <f t="shared" si="98"/>
        <v>0.69716775599128544</v>
      </c>
      <c r="I772" s="639">
        <f t="shared" si="98"/>
        <v>0.70087336244541487</v>
      </c>
      <c r="J772" s="639">
        <f t="shared" si="98"/>
        <v>0.70208882388344285</v>
      </c>
      <c r="K772" s="639">
        <f t="shared" si="98"/>
        <v>0.70058542169097304</v>
      </c>
      <c r="L772" s="639">
        <f t="shared" si="98"/>
        <v>0.66950959488272921</v>
      </c>
      <c r="M772" s="639">
        <f t="shared" si="98"/>
        <v>0.65170940170940173</v>
      </c>
      <c r="N772" s="639">
        <f t="shared" si="98"/>
        <v>0.65225176508998906</v>
      </c>
      <c r="O772" s="639">
        <f t="shared" si="98"/>
        <v>0.65854546876253939</v>
      </c>
      <c r="P772" s="639">
        <f t="shared" si="98"/>
        <v>0.6737479545952354</v>
      </c>
      <c r="Q772" s="704"/>
      <c r="R772" s="619"/>
    </row>
    <row r="773" spans="1:18" s="709" customFormat="1" ht="16.350000000000001" customHeight="1" outlineLevel="1">
      <c r="A773" s="696"/>
      <c r="B773" s="706" t="s">
        <v>700</v>
      </c>
      <c r="C773" s="707"/>
      <c r="D773" s="707">
        <f>1-D774</f>
        <v>0.80628584196022945</v>
      </c>
      <c r="E773" s="707">
        <f>1-E774</f>
        <v>0.78523711340206181</v>
      </c>
      <c r="F773" s="707">
        <v>0.76209485790324116</v>
      </c>
      <c r="G773" s="707">
        <v>0.74848863873254112</v>
      </c>
      <c r="H773" s="707">
        <v>0.72411313518696074</v>
      </c>
      <c r="I773" s="707">
        <v>0.70597222222222222</v>
      </c>
      <c r="J773" s="707">
        <v>0.67896129672510752</v>
      </c>
      <c r="K773" s="707">
        <v>0.67838593687574911</v>
      </c>
      <c r="L773" s="707">
        <v>0.6526736631684158</v>
      </c>
      <c r="M773" s="707">
        <v>0.67009987515605496</v>
      </c>
      <c r="N773" s="707">
        <v>0.68847352024922115</v>
      </c>
      <c r="O773" s="707">
        <v>0.74521422060164089</v>
      </c>
      <c r="P773" s="707">
        <v>0.75911251980982564</v>
      </c>
      <c r="Q773" s="708"/>
      <c r="R773" s="619"/>
    </row>
    <row r="774" spans="1:18" s="709" customFormat="1" ht="16.350000000000001" customHeight="1" outlineLevel="1">
      <c r="A774" s="696"/>
      <c r="B774" s="706" t="s">
        <v>701</v>
      </c>
      <c r="C774" s="707"/>
      <c r="D774" s="707">
        <v>0.1937141580397706</v>
      </c>
      <c r="E774" s="707">
        <v>0.21476288659793816</v>
      </c>
      <c r="F774" s="707">
        <v>0.23790514209675886</v>
      </c>
      <c r="G774" s="707">
        <v>0.25151136126745882</v>
      </c>
      <c r="H774" s="707">
        <v>0.27588686481303931</v>
      </c>
      <c r="I774" s="707">
        <v>0.29402777777777778</v>
      </c>
      <c r="J774" s="707">
        <v>0.32103870327489248</v>
      </c>
      <c r="K774" s="707">
        <v>0.32161406312425089</v>
      </c>
      <c r="L774" s="707">
        <v>0.3473263368315842</v>
      </c>
      <c r="M774" s="707">
        <v>0.32990012484394504</v>
      </c>
      <c r="N774" s="707">
        <v>0.3115264797507788</v>
      </c>
      <c r="O774" s="707">
        <v>0.25478577939835917</v>
      </c>
      <c r="P774" s="707">
        <v>0.24088748019017434</v>
      </c>
      <c r="Q774" s="708"/>
      <c r="R774" s="619"/>
    </row>
    <row r="775" spans="1:18" s="709" customFormat="1" ht="16.350000000000001" customHeight="1" outlineLevel="1">
      <c r="A775" s="696"/>
      <c r="B775" s="706" t="s">
        <v>702</v>
      </c>
      <c r="C775" s="707"/>
      <c r="D775" s="707"/>
      <c r="E775" s="707">
        <f>E714/E766</f>
        <v>0.64725773195876291</v>
      </c>
      <c r="F775" s="707">
        <f t="shared" ref="F775:P775" si="99">F714/F766</f>
        <v>0.82340081741279347</v>
      </c>
      <c r="G775" s="707">
        <f t="shared" si="99"/>
        <v>0.75953721075672298</v>
      </c>
      <c r="H775" s="707">
        <f t="shared" si="99"/>
        <v>0.72075743048897412</v>
      </c>
      <c r="I775" s="707">
        <f t="shared" si="99"/>
        <v>0.67305555555555552</v>
      </c>
      <c r="J775" s="707">
        <f t="shared" si="99"/>
        <v>0.40770757525636786</v>
      </c>
      <c r="K775" s="707">
        <f t="shared" si="99"/>
        <v>0.39073112265281662</v>
      </c>
      <c r="L775" s="707">
        <f t="shared" si="99"/>
        <v>0.50599700149925042</v>
      </c>
      <c r="M775" s="707">
        <f t="shared" si="99"/>
        <v>0.54275905118601753</v>
      </c>
      <c r="N775" s="707">
        <f t="shared" si="99"/>
        <v>0.53543613707165105</v>
      </c>
      <c r="O775" s="707">
        <f t="shared" si="99"/>
        <v>0.46536007292616227</v>
      </c>
      <c r="P775" s="707">
        <f t="shared" si="99"/>
        <v>0.33438985736925514</v>
      </c>
      <c r="Q775" s="708"/>
      <c r="R775" s="619"/>
    </row>
    <row r="776" spans="1:18" s="709" customFormat="1" ht="16.350000000000001" customHeight="1" outlineLevel="1">
      <c r="A776" s="696"/>
      <c r="B776" s="706" t="s">
        <v>703</v>
      </c>
      <c r="C776" s="707"/>
      <c r="D776" s="707"/>
      <c r="E776" s="707">
        <f t="shared" ref="E776:P776" si="100">1-E775</f>
        <v>0.35274226804123709</v>
      </c>
      <c r="F776" s="707">
        <f t="shared" si="100"/>
        <v>0.17659918258720653</v>
      </c>
      <c r="G776" s="707">
        <f t="shared" si="100"/>
        <v>0.24046278924327702</v>
      </c>
      <c r="H776" s="707">
        <f t="shared" si="100"/>
        <v>0.27924256951102588</v>
      </c>
      <c r="I776" s="707">
        <f t="shared" si="100"/>
        <v>0.32694444444444448</v>
      </c>
      <c r="J776" s="707">
        <f t="shared" si="100"/>
        <v>0.59229242474363208</v>
      </c>
      <c r="K776" s="707">
        <f t="shared" si="100"/>
        <v>0.60926887734718338</v>
      </c>
      <c r="L776" s="707">
        <f t="shared" si="100"/>
        <v>0.49400299850074958</v>
      </c>
      <c r="M776" s="707">
        <f t="shared" si="100"/>
        <v>0.45724094881398247</v>
      </c>
      <c r="N776" s="707">
        <f t="shared" si="100"/>
        <v>0.46456386292834895</v>
      </c>
      <c r="O776" s="707">
        <f t="shared" si="100"/>
        <v>0.53463992707383778</v>
      </c>
      <c r="P776" s="707">
        <f t="shared" si="100"/>
        <v>0.66561014263074481</v>
      </c>
      <c r="Q776" s="708"/>
      <c r="R776" s="619"/>
    </row>
    <row r="777" spans="1:18" s="635" customFormat="1" ht="16.350000000000001" customHeight="1" outlineLevel="1">
      <c r="A777" s="339"/>
      <c r="B777" s="632"/>
      <c r="C777" s="636"/>
      <c r="D777" s="636"/>
      <c r="E777" s="636"/>
      <c r="F777" s="636"/>
      <c r="G777" s="636"/>
      <c r="H777" s="636"/>
      <c r="I777" s="636"/>
      <c r="J777" s="636"/>
      <c r="K777" s="636"/>
      <c r="L777" s="636"/>
      <c r="M777" s="636"/>
      <c r="N777" s="636"/>
      <c r="O777" s="636"/>
      <c r="P777" s="636"/>
      <c r="Q777" s="710"/>
      <c r="R777" s="619"/>
    </row>
    <row r="778" spans="1:18" s="256" customFormat="1" ht="16.350000000000001" customHeight="1" outlineLevel="1">
      <c r="A778" s="344"/>
      <c r="B778" s="711" t="s">
        <v>704</v>
      </c>
      <c r="C778" s="712"/>
      <c r="D778" s="712">
        <f>E784</f>
        <v>2343</v>
      </c>
      <c r="E778" s="712">
        <f>F784</f>
        <v>518</v>
      </c>
      <c r="F778" s="712">
        <v>0</v>
      </c>
      <c r="G778" s="712"/>
      <c r="H778" s="712"/>
      <c r="I778" s="712"/>
      <c r="J778" s="712"/>
      <c r="K778" s="712"/>
      <c r="L778" s="712"/>
      <c r="M778" s="712"/>
      <c r="N778" s="712"/>
      <c r="O778" s="712"/>
      <c r="P778" s="712"/>
      <c r="Q778" s="713"/>
      <c r="R778" s="573"/>
    </row>
    <row r="779" spans="1:18" s="357" customFormat="1" ht="16.350000000000001" customHeight="1" outlineLevel="1">
      <c r="A779" s="344"/>
      <c r="B779" s="166" t="s">
        <v>229</v>
      </c>
      <c r="C779" s="712"/>
      <c r="D779" s="714">
        <v>268</v>
      </c>
      <c r="E779" s="714">
        <v>220</v>
      </c>
      <c r="F779" s="714">
        <v>0</v>
      </c>
      <c r="G779" s="712"/>
      <c r="H779" s="712"/>
      <c r="I779" s="712"/>
      <c r="J779" s="712"/>
      <c r="K779" s="712"/>
      <c r="L779" s="715"/>
      <c r="M779" s="715"/>
      <c r="N779" s="715"/>
      <c r="O779" s="715"/>
      <c r="P779" s="715"/>
      <c r="Q779" s="716"/>
      <c r="R779" s="573"/>
    </row>
    <row r="780" spans="1:18" s="357" customFormat="1" ht="16.350000000000001" customHeight="1" outlineLevel="1">
      <c r="A780" s="344"/>
      <c r="B780" s="165" t="s">
        <v>314</v>
      </c>
      <c r="C780" s="712"/>
      <c r="D780" s="712">
        <v>288</v>
      </c>
      <c r="E780" s="712">
        <v>435</v>
      </c>
      <c r="F780" s="712">
        <v>0</v>
      </c>
      <c r="G780" s="712"/>
      <c r="H780" s="712"/>
      <c r="I780" s="712"/>
      <c r="J780" s="712"/>
      <c r="K780" s="712"/>
      <c r="L780" s="715"/>
      <c r="M780" s="715"/>
      <c r="N780" s="715"/>
      <c r="O780" s="715"/>
      <c r="P780" s="715"/>
      <c r="Q780" s="716"/>
      <c r="R780" s="573"/>
    </row>
    <row r="781" spans="1:18" s="357" customFormat="1" ht="16.350000000000001" customHeight="1" outlineLevel="1">
      <c r="A781" s="344"/>
      <c r="B781" s="157" t="s">
        <v>227</v>
      </c>
      <c r="C781" s="712"/>
      <c r="D781" s="712">
        <v>394</v>
      </c>
      <c r="E781" s="712">
        <v>671</v>
      </c>
      <c r="F781" s="712">
        <v>77</v>
      </c>
      <c r="G781" s="712"/>
      <c r="H781" s="712"/>
      <c r="I781" s="712"/>
      <c r="J781" s="712"/>
      <c r="K781" s="712"/>
      <c r="L781" s="715"/>
      <c r="M781" s="715"/>
      <c r="N781" s="715"/>
      <c r="O781" s="715"/>
      <c r="P781" s="715"/>
      <c r="Q781" s="716"/>
      <c r="R781" s="573"/>
    </row>
    <row r="782" spans="1:18" s="357" customFormat="1" ht="16.350000000000001" customHeight="1" outlineLevel="1">
      <c r="A782" s="344"/>
      <c r="B782" s="157" t="s">
        <v>226</v>
      </c>
      <c r="C782" s="712"/>
      <c r="D782" s="712">
        <v>645</v>
      </c>
      <c r="E782" s="712">
        <v>499</v>
      </c>
      <c r="F782" s="712">
        <v>441</v>
      </c>
      <c r="G782" s="712"/>
      <c r="H782" s="712"/>
      <c r="I782" s="712"/>
      <c r="J782" s="712"/>
      <c r="K782" s="712"/>
      <c r="L782" s="715"/>
      <c r="M782" s="715"/>
      <c r="N782" s="715"/>
      <c r="O782" s="715"/>
      <c r="P782" s="715"/>
      <c r="Q782" s="716"/>
      <c r="R782" s="573"/>
    </row>
    <row r="783" spans="1:18" s="256" customFormat="1" ht="16.350000000000001" customHeight="1" outlineLevel="1">
      <c r="A783" s="344"/>
      <c r="B783" s="717" t="s">
        <v>705</v>
      </c>
      <c r="C783" s="253"/>
      <c r="D783" s="253">
        <f>D779+D780+D781+D782</f>
        <v>1595</v>
      </c>
      <c r="E783" s="253">
        <f>E779+E780+E781+E782</f>
        <v>1825</v>
      </c>
      <c r="F783" s="253">
        <f>F779+F780+F781+F782</f>
        <v>518</v>
      </c>
      <c r="G783" s="253"/>
      <c r="H783" s="253"/>
      <c r="I783" s="253"/>
      <c r="J783" s="253"/>
      <c r="K783" s="253"/>
      <c r="L783" s="253"/>
      <c r="M783" s="253"/>
      <c r="N783" s="253"/>
      <c r="O783" s="253"/>
      <c r="P783" s="253"/>
      <c r="Q783" s="254"/>
      <c r="R783" s="573"/>
    </row>
    <row r="784" spans="1:18" s="256" customFormat="1" ht="16.350000000000001" customHeight="1" outlineLevel="1">
      <c r="A784" s="344"/>
      <c r="B784" s="257" t="s">
        <v>706</v>
      </c>
      <c r="C784" s="718"/>
      <c r="D784" s="718">
        <f>D778+D783</f>
        <v>3938</v>
      </c>
      <c r="E784" s="718">
        <f>E778+E783</f>
        <v>2343</v>
      </c>
      <c r="F784" s="718">
        <f>F783</f>
        <v>518</v>
      </c>
      <c r="G784" s="718"/>
      <c r="H784" s="718"/>
      <c r="I784" s="718"/>
      <c r="J784" s="718"/>
      <c r="K784" s="718"/>
      <c r="L784" s="718"/>
      <c r="M784" s="718"/>
      <c r="N784" s="718"/>
      <c r="O784" s="718"/>
      <c r="P784" s="718"/>
      <c r="Q784" s="719"/>
      <c r="R784" s="573"/>
    </row>
    <row r="785" spans="1:18" s="256" customFormat="1" ht="16.350000000000001" customHeight="1" outlineLevel="1">
      <c r="A785" s="344"/>
      <c r="B785" s="257"/>
      <c r="C785" s="253"/>
      <c r="D785" s="253"/>
      <c r="E785" s="253"/>
      <c r="F785" s="253"/>
      <c r="G785" s="253"/>
      <c r="H785" s="253"/>
      <c r="I785" s="253"/>
      <c r="J785" s="253"/>
      <c r="K785" s="253"/>
      <c r="L785" s="253"/>
      <c r="M785" s="253"/>
      <c r="N785" s="253"/>
      <c r="O785" s="253"/>
      <c r="P785" s="253"/>
      <c r="Q785" s="254"/>
      <c r="R785" s="573"/>
    </row>
    <row r="786" spans="1:18" s="357" customFormat="1" ht="16.350000000000001" customHeight="1" outlineLevel="1">
      <c r="A786" s="344"/>
      <c r="B786" s="717" t="s">
        <v>707</v>
      </c>
      <c r="C786" s="720"/>
      <c r="D786" s="720">
        <f>E792</f>
        <v>2133</v>
      </c>
      <c r="E786" s="720">
        <f>F792</f>
        <v>159</v>
      </c>
      <c r="F786" s="720">
        <v>0</v>
      </c>
      <c r="G786" s="720"/>
      <c r="H786" s="720"/>
      <c r="I786" s="720"/>
      <c r="J786" s="720"/>
      <c r="K786" s="720"/>
      <c r="L786" s="721"/>
      <c r="M786" s="721"/>
      <c r="N786" s="721"/>
      <c r="O786" s="721"/>
      <c r="P786" s="721"/>
      <c r="Q786" s="722"/>
      <c r="R786" s="573"/>
    </row>
    <row r="787" spans="1:18" s="357" customFormat="1" ht="16.350000000000001" customHeight="1" outlineLevel="1">
      <c r="A787" s="344"/>
      <c r="B787" s="166" t="s">
        <v>229</v>
      </c>
      <c r="C787" s="720"/>
      <c r="D787" s="720">
        <v>150</v>
      </c>
      <c r="E787" s="720">
        <v>278</v>
      </c>
      <c r="F787" s="720">
        <v>0</v>
      </c>
      <c r="G787" s="720"/>
      <c r="H787" s="720"/>
      <c r="I787" s="720"/>
      <c r="J787" s="720"/>
      <c r="K787" s="720"/>
      <c r="L787" s="721"/>
      <c r="M787" s="721"/>
      <c r="N787" s="721"/>
      <c r="O787" s="721"/>
      <c r="P787" s="721"/>
      <c r="Q787" s="722"/>
      <c r="R787" s="573"/>
    </row>
    <row r="788" spans="1:18" s="357" customFormat="1" ht="16.350000000000001" customHeight="1" outlineLevel="1">
      <c r="A788" s="344"/>
      <c r="B788" s="723" t="s">
        <v>314</v>
      </c>
      <c r="C788" s="724"/>
      <c r="D788" s="724">
        <v>264</v>
      </c>
      <c r="E788" s="724">
        <v>552</v>
      </c>
      <c r="F788" s="724">
        <v>0</v>
      </c>
      <c r="G788" s="724"/>
      <c r="H788" s="724"/>
      <c r="I788" s="724"/>
      <c r="J788" s="724"/>
      <c r="K788" s="724"/>
      <c r="L788" s="725"/>
      <c r="M788" s="725"/>
      <c r="N788" s="725"/>
      <c r="O788" s="725"/>
      <c r="P788" s="725"/>
      <c r="Q788" s="726"/>
      <c r="R788" s="573"/>
    </row>
    <row r="789" spans="1:18" s="357" customFormat="1" ht="16.350000000000001" customHeight="1" outlineLevel="1">
      <c r="A789" s="344"/>
      <c r="B789" s="157" t="s">
        <v>227</v>
      </c>
      <c r="C789" s="712"/>
      <c r="D789" s="712">
        <v>366</v>
      </c>
      <c r="E789" s="712">
        <v>607</v>
      </c>
      <c r="F789" s="712">
        <v>0</v>
      </c>
      <c r="G789" s="712"/>
      <c r="H789" s="712"/>
      <c r="I789" s="712"/>
      <c r="J789" s="712"/>
      <c r="K789" s="712"/>
      <c r="L789" s="715"/>
      <c r="M789" s="715"/>
      <c r="N789" s="715"/>
      <c r="O789" s="715"/>
      <c r="P789" s="715"/>
      <c r="Q789" s="716"/>
      <c r="R789" s="573"/>
    </row>
    <row r="790" spans="1:18" s="357" customFormat="1" ht="16.350000000000001" customHeight="1" outlineLevel="1">
      <c r="A790" s="344"/>
      <c r="B790" s="157" t="s">
        <v>226</v>
      </c>
      <c r="C790" s="712"/>
      <c r="D790" s="712">
        <v>346</v>
      </c>
      <c r="E790" s="712">
        <v>537</v>
      </c>
      <c r="F790" s="712">
        <v>159</v>
      </c>
      <c r="G790" s="712"/>
      <c r="H790" s="712"/>
      <c r="I790" s="712"/>
      <c r="J790" s="712"/>
      <c r="K790" s="712"/>
      <c r="L790" s="715"/>
      <c r="M790" s="715"/>
      <c r="N790" s="715"/>
      <c r="O790" s="715"/>
      <c r="P790" s="715"/>
      <c r="Q790" s="716"/>
      <c r="R790" s="573"/>
    </row>
    <row r="791" spans="1:18" s="357" customFormat="1" ht="16.350000000000001" customHeight="1" outlineLevel="1">
      <c r="A791" s="344"/>
      <c r="B791" s="717" t="s">
        <v>708</v>
      </c>
      <c r="C791" s="727"/>
      <c r="D791" s="727">
        <f>D787+D788+D789+D790</f>
        <v>1126</v>
      </c>
      <c r="E791" s="727">
        <f>E787+E788+E789+E790</f>
        <v>1974</v>
      </c>
      <c r="F791" s="727">
        <f>F787+F788+F789+F790</f>
        <v>159</v>
      </c>
      <c r="G791" s="727"/>
      <c r="H791" s="727"/>
      <c r="I791" s="727"/>
      <c r="J791" s="727"/>
      <c r="K791" s="727"/>
      <c r="L791" s="728"/>
      <c r="M791" s="728"/>
      <c r="N791" s="728"/>
      <c r="O791" s="728"/>
      <c r="P791" s="728"/>
      <c r="Q791" s="729"/>
      <c r="R791" s="573"/>
    </row>
    <row r="792" spans="1:18" s="256" customFormat="1" ht="16.350000000000001" customHeight="1" outlineLevel="1">
      <c r="A792" s="344"/>
      <c r="B792" s="257" t="s">
        <v>709</v>
      </c>
      <c r="C792" s="718"/>
      <c r="D792" s="718">
        <f>D786+D791</f>
        <v>3259</v>
      </c>
      <c r="E792" s="718">
        <f>E786+E791</f>
        <v>2133</v>
      </c>
      <c r="F792" s="718">
        <f>F786+F791</f>
        <v>159</v>
      </c>
      <c r="G792" s="718"/>
      <c r="H792" s="718"/>
      <c r="I792" s="718"/>
      <c r="J792" s="718"/>
      <c r="K792" s="718"/>
      <c r="L792" s="718"/>
      <c r="M792" s="718"/>
      <c r="N792" s="718"/>
      <c r="O792" s="718"/>
      <c r="P792" s="718"/>
      <c r="Q792" s="719"/>
      <c r="R792" s="573"/>
    </row>
    <row r="793" spans="1:18" s="256" customFormat="1" ht="16.350000000000001" customHeight="1" outlineLevel="1">
      <c r="A793" s="344"/>
      <c r="B793" s="730"/>
      <c r="C793" s="731"/>
      <c r="D793" s="731"/>
      <c r="E793" s="731"/>
      <c r="F793" s="731"/>
      <c r="G793" s="731"/>
      <c r="H793" s="731"/>
      <c r="I793" s="731"/>
      <c r="J793" s="731"/>
      <c r="K793" s="731"/>
      <c r="L793" s="731"/>
      <c r="M793" s="732"/>
      <c r="N793" s="732"/>
      <c r="O793" s="732"/>
      <c r="P793" s="732"/>
      <c r="Q793" s="733"/>
      <c r="R793" s="573"/>
    </row>
    <row r="794" spans="1:18" s="148" customFormat="1" ht="16.350000000000001" customHeight="1" outlineLevel="1">
      <c r="A794" s="344"/>
      <c r="B794" s="734" t="s">
        <v>710</v>
      </c>
      <c r="C794" s="233"/>
      <c r="D794" s="233">
        <f>D784+D792</f>
        <v>7197</v>
      </c>
      <c r="E794" s="233">
        <f>E784+E792</f>
        <v>4476</v>
      </c>
      <c r="F794" s="233">
        <f>F784+F792</f>
        <v>677</v>
      </c>
      <c r="G794" s="233"/>
      <c r="H794" s="233"/>
      <c r="I794" s="233"/>
      <c r="J794" s="233"/>
      <c r="K794" s="233"/>
      <c r="L794" s="233"/>
      <c r="M794" s="233"/>
      <c r="N794" s="233"/>
      <c r="O794" s="233"/>
      <c r="P794" s="233"/>
      <c r="Q794" s="146"/>
      <c r="R794" s="573"/>
    </row>
    <row r="795" spans="1:18" s="740" customFormat="1" ht="16.350000000000001" customHeight="1" outlineLevel="1">
      <c r="A795" s="344"/>
      <c r="B795" s="735" t="s">
        <v>711</v>
      </c>
      <c r="C795" s="736"/>
      <c r="D795" s="736">
        <f>D794/D766</f>
        <v>0.53600953303046106</v>
      </c>
      <c r="E795" s="736">
        <f>E794/E766</f>
        <v>0.36915463917525776</v>
      </c>
      <c r="F795" s="736">
        <f>F794/F766</f>
        <v>6.4347495485220035E-2</v>
      </c>
      <c r="G795" s="737"/>
      <c r="H795" s="737"/>
      <c r="I795" s="737"/>
      <c r="J795" s="737"/>
      <c r="K795" s="736"/>
      <c r="L795" s="738"/>
      <c r="M795" s="738"/>
      <c r="N795" s="738"/>
      <c r="O795" s="738"/>
      <c r="P795" s="738"/>
      <c r="Q795" s="739"/>
      <c r="R795" s="573"/>
    </row>
    <row r="796" spans="1:18" s="256" customFormat="1" ht="16.350000000000001" customHeight="1" outlineLevel="1">
      <c r="A796" s="741"/>
      <c r="B796" s="742"/>
      <c r="C796" s="743"/>
      <c r="D796" s="743"/>
      <c r="E796" s="743"/>
      <c r="F796" s="743"/>
      <c r="G796" s="743"/>
      <c r="H796" s="743"/>
      <c r="I796" s="743"/>
      <c r="J796" s="743"/>
      <c r="K796" s="743"/>
      <c r="L796" s="743"/>
      <c r="M796" s="743"/>
      <c r="N796" s="743"/>
      <c r="O796" s="743"/>
      <c r="P796" s="743"/>
      <c r="Q796" s="744"/>
      <c r="R796" s="745"/>
    </row>
    <row r="797" spans="1:18" s="750" customFormat="1" ht="16.350000000000001" customHeight="1" outlineLevel="1">
      <c r="A797" s="344"/>
      <c r="B797" s="746" t="s">
        <v>712</v>
      </c>
      <c r="C797" s="747"/>
      <c r="D797" s="748">
        <v>3.5450957026886123E-2</v>
      </c>
      <c r="E797" s="748">
        <v>3.8350515463917524E-2</v>
      </c>
      <c r="F797" s="748">
        <v>3.1650983746792129E-2</v>
      </c>
      <c r="G797" s="748">
        <v>2.9497602668334375E-2</v>
      </c>
      <c r="H797" s="748">
        <v>2.2651006711409395E-2</v>
      </c>
      <c r="I797" s="748">
        <v>1.6111111111111111E-2</v>
      </c>
      <c r="J797" s="748">
        <v>8.7661263645385373E-3</v>
      </c>
      <c r="K797" s="748">
        <v>5.1937674790251695E-3</v>
      </c>
      <c r="L797" s="747"/>
      <c r="M797" s="747"/>
      <c r="N797" s="747"/>
      <c r="O797" s="747"/>
      <c r="P797" s="747"/>
      <c r="Q797" s="749"/>
      <c r="R797" s="573"/>
    </row>
    <row r="798" spans="1:18" s="750" customFormat="1" ht="16.350000000000001" customHeight="1" outlineLevel="1">
      <c r="A798" s="344"/>
      <c r="B798" s="746" t="s">
        <v>713</v>
      </c>
      <c r="C798" s="747"/>
      <c r="D798" s="748">
        <v>1.8395769717732924E-2</v>
      </c>
      <c r="E798" s="748">
        <v>1.9298969072164947E-2</v>
      </c>
      <c r="F798" s="748">
        <v>1.7488831860089347E-2</v>
      </c>
      <c r="G798" s="748">
        <v>1.7302480717114863E-2</v>
      </c>
      <c r="H798" s="748">
        <v>1.450143815915628E-2</v>
      </c>
      <c r="I798" s="748">
        <v>1.1111111111111112E-2</v>
      </c>
      <c r="J798" s="748">
        <v>6.2851472047634801E-3</v>
      </c>
      <c r="K798" s="748">
        <v>4.9940071913703553E-3</v>
      </c>
      <c r="L798" s="747"/>
      <c r="M798" s="747"/>
      <c r="N798" s="747"/>
      <c r="O798" s="747"/>
      <c r="P798" s="747"/>
      <c r="Q798" s="749"/>
      <c r="R798" s="573"/>
    </row>
    <row r="799" spans="1:18" s="750" customFormat="1" ht="16.350000000000001" customHeight="1" outlineLevel="1">
      <c r="A799" s="344"/>
      <c r="B799" s="751" t="s">
        <v>714</v>
      </c>
      <c r="C799" s="747"/>
      <c r="D799" s="748">
        <v>0.17732926193490728</v>
      </c>
      <c r="E799" s="748">
        <v>0.17756701030927835</v>
      </c>
      <c r="F799" s="748">
        <v>0.16034597471723219</v>
      </c>
      <c r="G799" s="748">
        <v>0.15488847196164268</v>
      </c>
      <c r="H799" s="748">
        <v>0.14441514860977947</v>
      </c>
      <c r="I799" s="748">
        <v>0.13541666666666666</v>
      </c>
      <c r="J799" s="748">
        <v>0.12603374131657294</v>
      </c>
      <c r="K799" s="748">
        <v>0.11885737115461446</v>
      </c>
      <c r="L799" s="748"/>
      <c r="M799" s="747"/>
      <c r="N799" s="747"/>
      <c r="O799" s="747"/>
      <c r="P799" s="747"/>
      <c r="Q799" s="749"/>
      <c r="R799" s="573"/>
    </row>
    <row r="800" spans="1:18" s="750" customFormat="1" ht="16.350000000000001" customHeight="1" outlineLevel="1">
      <c r="A800" s="344"/>
      <c r="B800" s="751" t="s">
        <v>715</v>
      </c>
      <c r="C800" s="747"/>
      <c r="D800" s="748">
        <v>0.11111938631116407</v>
      </c>
      <c r="E800" s="748">
        <v>0.11084536082474226</v>
      </c>
      <c r="F800" s="748">
        <v>0.11253683109970535</v>
      </c>
      <c r="G800" s="748">
        <v>0.11257035647279549</v>
      </c>
      <c r="H800" s="748">
        <v>0.11613135186960691</v>
      </c>
      <c r="I800" s="748">
        <v>0.11722222222222223</v>
      </c>
      <c r="J800" s="748">
        <v>0.11958319550115779</v>
      </c>
      <c r="K800" s="748">
        <v>0.11985617259288853</v>
      </c>
      <c r="L800" s="748"/>
      <c r="M800" s="747"/>
      <c r="N800" s="747"/>
      <c r="O800" s="747"/>
      <c r="P800" s="747"/>
      <c r="Q800" s="749"/>
      <c r="R800" s="573"/>
    </row>
    <row r="801" spans="1:18" s="750" customFormat="1" ht="16.350000000000001" customHeight="1" outlineLevel="1">
      <c r="A801" s="344"/>
      <c r="B801" s="751" t="s">
        <v>716</v>
      </c>
      <c r="C801" s="747"/>
      <c r="D801" s="748">
        <v>0.13443062486035601</v>
      </c>
      <c r="E801" s="748">
        <v>0.13674226804123712</v>
      </c>
      <c r="F801" s="748">
        <v>0.1420017108639863</v>
      </c>
      <c r="G801" s="748">
        <v>0.14238065457577653</v>
      </c>
      <c r="H801" s="748">
        <v>0.1446548418024928</v>
      </c>
      <c r="I801" s="748">
        <v>0.15125</v>
      </c>
      <c r="J801" s="748">
        <v>0.15762487595104202</v>
      </c>
      <c r="K801" s="748">
        <v>0.15181781861765881</v>
      </c>
      <c r="L801" s="748"/>
      <c r="M801" s="747"/>
      <c r="N801" s="747"/>
      <c r="O801" s="747"/>
      <c r="P801" s="747"/>
      <c r="Q801" s="749"/>
      <c r="R801" s="573"/>
    </row>
    <row r="802" spans="1:18" s="750" customFormat="1" ht="16.350000000000001" customHeight="1" outlineLevel="1">
      <c r="A802" s="344"/>
      <c r="B802" s="751" t="s">
        <v>717</v>
      </c>
      <c r="C802" s="747"/>
      <c r="D802" s="748">
        <v>0.10523571907350861</v>
      </c>
      <c r="E802" s="748">
        <v>0.10540206185567011</v>
      </c>
      <c r="F802" s="748">
        <v>0.10350727117194183</v>
      </c>
      <c r="G802" s="748">
        <v>0.10662914321450907</v>
      </c>
      <c r="H802" s="748">
        <v>0.10486577181208054</v>
      </c>
      <c r="I802" s="748">
        <v>0.10777777777777778</v>
      </c>
      <c r="J802" s="748">
        <v>0.10701290109163084</v>
      </c>
      <c r="K802" s="748">
        <v>0.11026767878545746</v>
      </c>
      <c r="L802" s="748"/>
      <c r="M802" s="747"/>
      <c r="N802" s="747"/>
      <c r="O802" s="747"/>
      <c r="P802" s="747"/>
      <c r="Q802" s="749"/>
      <c r="R802" s="573"/>
    </row>
    <row r="803" spans="1:18" s="750" customFormat="1" ht="16.350000000000001" customHeight="1" outlineLevel="1">
      <c r="A803" s="344"/>
      <c r="B803" s="751" t="s">
        <v>718</v>
      </c>
      <c r="C803" s="747"/>
      <c r="D803" s="748">
        <v>9.451105980487079E-2</v>
      </c>
      <c r="E803" s="748">
        <v>9.5340206185567017E-2</v>
      </c>
      <c r="F803" s="748">
        <v>9.9420207204638344E-2</v>
      </c>
      <c r="G803" s="748">
        <v>0.10412757973733583</v>
      </c>
      <c r="H803" s="748">
        <v>0.10414669223394056</v>
      </c>
      <c r="I803" s="748">
        <v>0.10833333333333334</v>
      </c>
      <c r="J803" s="748">
        <v>0.113959642739001</v>
      </c>
      <c r="K803" s="748">
        <v>0.12265281662005593</v>
      </c>
      <c r="L803" s="748"/>
      <c r="M803" s="747"/>
      <c r="N803" s="747"/>
      <c r="O803" s="747"/>
      <c r="P803" s="747"/>
      <c r="Q803" s="749"/>
      <c r="R803" s="573"/>
    </row>
    <row r="804" spans="1:18" s="750" customFormat="1" ht="16.350000000000001" customHeight="1" outlineLevel="1">
      <c r="A804" s="344"/>
      <c r="B804" s="751" t="s">
        <v>719</v>
      </c>
      <c r="C804" s="747"/>
      <c r="D804" s="748">
        <v>0.37737394801519325</v>
      </c>
      <c r="E804" s="748">
        <v>0.37410309278350518</v>
      </c>
      <c r="F804" s="748">
        <v>0.38218800494249594</v>
      </c>
      <c r="G804" s="748">
        <v>0.37940379403794039</v>
      </c>
      <c r="H804" s="748">
        <v>0.38578619367209971</v>
      </c>
      <c r="I804" s="748">
        <v>0.38</v>
      </c>
      <c r="J804" s="748">
        <v>0.37578564340059545</v>
      </c>
      <c r="K804" s="748">
        <v>0.37654814222932481</v>
      </c>
      <c r="L804" s="748"/>
      <c r="M804" s="747"/>
      <c r="N804" s="747"/>
      <c r="O804" s="747"/>
      <c r="P804" s="747"/>
      <c r="Q804" s="749"/>
      <c r="R804" s="573"/>
    </row>
    <row r="805" spans="1:18" s="256" customFormat="1" ht="16.350000000000001" customHeight="1" outlineLevel="1">
      <c r="A805" s="344"/>
      <c r="B805" s="752"/>
      <c r="C805" s="731"/>
      <c r="D805" s="731"/>
      <c r="E805" s="731"/>
      <c r="F805" s="731"/>
      <c r="G805" s="731"/>
      <c r="H805" s="731"/>
      <c r="I805" s="731"/>
      <c r="J805" s="731"/>
      <c r="K805" s="731"/>
      <c r="L805" s="731"/>
      <c r="M805" s="732"/>
      <c r="N805" s="732"/>
      <c r="O805" s="732"/>
      <c r="P805" s="732"/>
      <c r="Q805" s="733"/>
      <c r="R805" s="573"/>
    </row>
    <row r="806" spans="1:18" s="635" customFormat="1" ht="16.350000000000001" customHeight="1" outlineLevel="1">
      <c r="A806" s="339"/>
      <c r="B806" s="632" t="s">
        <v>720</v>
      </c>
      <c r="C806" s="628"/>
      <c r="D806" s="628">
        <f>ROUND(3690092243,-3)</f>
        <v>3690092000</v>
      </c>
      <c r="E806" s="628">
        <v>3403630000</v>
      </c>
      <c r="F806" s="628">
        <v>3220100000</v>
      </c>
      <c r="G806" s="628">
        <v>2874000000</v>
      </c>
      <c r="H806" s="628">
        <v>2567150000</v>
      </c>
      <c r="I806" s="628">
        <v>2193870000</v>
      </c>
      <c r="J806" s="628">
        <v>1863620000</v>
      </c>
      <c r="K806" s="628">
        <v>1550280000</v>
      </c>
      <c r="L806" s="628">
        <f>1256670000-1000</f>
        <v>1256669000</v>
      </c>
      <c r="M806" s="629">
        <v>988300000</v>
      </c>
      <c r="N806" s="629">
        <v>850340000</v>
      </c>
      <c r="O806" s="629">
        <v>765160000</v>
      </c>
      <c r="P806" s="629">
        <v>640100000</v>
      </c>
      <c r="Q806" s="753">
        <v>469300000</v>
      </c>
      <c r="R806" s="619"/>
    </row>
    <row r="807" spans="1:18" s="757" customFormat="1" ht="16.350000000000001" customHeight="1" outlineLevel="1">
      <c r="A807" s="339"/>
      <c r="B807" s="754" t="s">
        <v>681</v>
      </c>
      <c r="C807" s="622"/>
      <c r="D807" s="755">
        <v>9.1899999999999996E-2</v>
      </c>
      <c r="E807" s="755">
        <v>2.9100000000000001E-2</v>
      </c>
      <c r="F807" s="755">
        <v>0.14580000000000001</v>
      </c>
      <c r="G807" s="755">
        <v>0.1293</v>
      </c>
      <c r="H807" s="755">
        <v>0.153</v>
      </c>
      <c r="I807" s="755">
        <v>0.18149999999999999</v>
      </c>
      <c r="J807" s="755">
        <v>0.2107</v>
      </c>
      <c r="K807" s="755">
        <v>0.30170000000000002</v>
      </c>
      <c r="L807" s="755">
        <v>0.21687287071902461</v>
      </c>
      <c r="M807" s="756"/>
      <c r="N807" s="756"/>
      <c r="O807" s="755">
        <v>0.28281363306744023</v>
      </c>
      <c r="P807" s="755">
        <v>0.43049792531120334</v>
      </c>
      <c r="Q807" s="756"/>
      <c r="R807" s="619"/>
    </row>
    <row r="808" spans="1:18" s="757" customFormat="1" ht="16.350000000000001" customHeight="1" outlineLevel="1">
      <c r="A808" s="339"/>
      <c r="B808" s="754" t="s">
        <v>682</v>
      </c>
      <c r="C808" s="622"/>
      <c r="D808" s="755">
        <v>0.10177291362302014</v>
      </c>
      <c r="E808" s="755">
        <v>4.19E-2</v>
      </c>
      <c r="F808" s="755">
        <v>0.13189999999999999</v>
      </c>
      <c r="G808" s="755">
        <v>0.12659999999999999</v>
      </c>
      <c r="H808" s="755">
        <v>0.1676</v>
      </c>
      <c r="I808" s="755">
        <v>0.1943</v>
      </c>
      <c r="J808" s="755">
        <v>0.2</v>
      </c>
      <c r="K808" s="755">
        <v>0.25729999999999997</v>
      </c>
      <c r="L808" s="755">
        <v>0.27132583898164997</v>
      </c>
      <c r="M808" s="756"/>
      <c r="N808" s="756"/>
      <c r="O808" s="755">
        <v>0.23325885732524743</v>
      </c>
      <c r="P808" s="755">
        <v>0.37159618247088688</v>
      </c>
      <c r="Q808" s="756"/>
      <c r="R808" s="619"/>
    </row>
    <row r="809" spans="1:18" s="757" customFormat="1" ht="16.350000000000001" customHeight="1" outlineLevel="1">
      <c r="A809" s="339"/>
      <c r="B809" s="754" t="s">
        <v>683</v>
      </c>
      <c r="C809" s="622"/>
      <c r="D809" s="755">
        <v>8.8754477801317608E-2</v>
      </c>
      <c r="E809" s="755">
        <v>6.08E-2</v>
      </c>
      <c r="F809" s="755">
        <v>0.1358</v>
      </c>
      <c r="G809" s="755">
        <v>0.1075</v>
      </c>
      <c r="H809" s="755">
        <v>0.19109999999999999</v>
      </c>
      <c r="I809" s="755">
        <v>0.16919999999999999</v>
      </c>
      <c r="J809" s="755">
        <v>0.20250000000000001</v>
      </c>
      <c r="K809" s="755">
        <v>0.19520000000000001</v>
      </c>
      <c r="L809" s="755">
        <v>0.29393096422834297</v>
      </c>
      <c r="M809" s="756"/>
      <c r="N809" s="756"/>
      <c r="O809" s="755">
        <v>0.17011813265015663</v>
      </c>
      <c r="P809" s="755">
        <v>0.34624565885593395</v>
      </c>
      <c r="Q809" s="756"/>
      <c r="R809" s="619"/>
    </row>
    <row r="810" spans="1:18" s="757" customFormat="1" ht="16.350000000000001" customHeight="1" outlineLevel="1">
      <c r="A810" s="339"/>
      <c r="B810" s="754" t="s">
        <v>684</v>
      </c>
      <c r="C810" s="622"/>
      <c r="D810" s="755">
        <v>5.5722493430262122E-2</v>
      </c>
      <c r="E810" s="755">
        <v>9.4500000000000001E-2</v>
      </c>
      <c r="F810" s="755">
        <v>7.2300000000000003E-2</v>
      </c>
      <c r="G810" s="755">
        <v>0.11609999999999999</v>
      </c>
      <c r="H810" s="755">
        <v>0.16750000000000001</v>
      </c>
      <c r="I810" s="755">
        <v>0.16520000000000001</v>
      </c>
      <c r="J810" s="755">
        <v>0.19639999999999999</v>
      </c>
      <c r="K810" s="755">
        <v>0.1961</v>
      </c>
      <c r="L810" s="755">
        <v>0.29593329104950938</v>
      </c>
      <c r="M810" s="756"/>
      <c r="N810" s="756"/>
      <c r="O810" s="755">
        <v>0.1174396528342827</v>
      </c>
      <c r="P810" s="755">
        <v>0.32593397534380042</v>
      </c>
      <c r="Q810" s="756"/>
      <c r="R810" s="619"/>
    </row>
    <row r="811" spans="1:18" s="757" customFormat="1" ht="16.350000000000001" customHeight="1" outlineLevel="1">
      <c r="A811" s="339"/>
      <c r="B811" s="754"/>
      <c r="C811" s="622"/>
      <c r="D811" s="758"/>
      <c r="E811" s="758"/>
      <c r="F811" s="758"/>
      <c r="G811" s="758"/>
      <c r="H811" s="758"/>
      <c r="I811" s="758"/>
      <c r="J811" s="758"/>
      <c r="K811" s="758"/>
      <c r="L811" s="758"/>
      <c r="M811" s="623"/>
      <c r="N811" s="623"/>
      <c r="O811" s="623"/>
      <c r="P811" s="623"/>
      <c r="Q811" s="759"/>
      <c r="R811" s="619"/>
    </row>
    <row r="812" spans="1:18" s="764" customFormat="1" ht="16.350000000000001" customHeight="1" outlineLevel="1">
      <c r="A812" s="339"/>
      <c r="B812" s="760" t="s">
        <v>677</v>
      </c>
      <c r="C812" s="761"/>
      <c r="D812" s="762">
        <f>(D806-E806)/E806</f>
        <v>8.4163672314558277E-2</v>
      </c>
      <c r="E812" s="762">
        <f>(E806-F806)/F806</f>
        <v>5.6995124375019413E-2</v>
      </c>
      <c r="F812" s="762">
        <f t="shared" ref="F812:N812" si="101">(F806-G806)/G806</f>
        <v>0.12042449547668754</v>
      </c>
      <c r="G812" s="762">
        <f t="shared" si="101"/>
        <v>0.11952943926143778</v>
      </c>
      <c r="H812" s="762">
        <f t="shared" si="101"/>
        <v>0.17014681817974631</v>
      </c>
      <c r="I812" s="762">
        <f t="shared" si="101"/>
        <v>0.17720887305351948</v>
      </c>
      <c r="J812" s="762">
        <f t="shared" si="101"/>
        <v>0.20211832701189464</v>
      </c>
      <c r="K812" s="762">
        <f t="shared" si="101"/>
        <v>0.23364227175175006</v>
      </c>
      <c r="L812" s="762">
        <f t="shared" si="101"/>
        <v>0.27154608924415663</v>
      </c>
      <c r="M812" s="762">
        <f t="shared" si="101"/>
        <v>0.16224098595855777</v>
      </c>
      <c r="N812" s="762">
        <f t="shared" si="101"/>
        <v>0.11132312196141983</v>
      </c>
      <c r="O812" s="762">
        <v>0.1953</v>
      </c>
      <c r="P812" s="762">
        <v>0.36399999999999999</v>
      </c>
      <c r="Q812" s="763"/>
      <c r="R812" s="619"/>
    </row>
    <row r="813" spans="1:18" s="768" customFormat="1" ht="16.350000000000001" customHeight="1" outlineLevel="1">
      <c r="A813" s="339"/>
      <c r="B813" s="706" t="s">
        <v>721</v>
      </c>
      <c r="C813" s="765"/>
      <c r="D813" s="766">
        <f t="shared" ref="D813:P813" si="102">D806/D1085</f>
        <v>0.84442507985224535</v>
      </c>
      <c r="E813" s="766">
        <f t="shared" si="102"/>
        <v>0.84237841851256035</v>
      </c>
      <c r="F813" s="766">
        <f t="shared" si="102"/>
        <v>0.84359191329611516</v>
      </c>
      <c r="G813" s="766">
        <f t="shared" si="102"/>
        <v>0.85108651232209809</v>
      </c>
      <c r="H813" s="766">
        <f t="shared" si="102"/>
        <v>0.87195834408923545</v>
      </c>
      <c r="I813" s="766">
        <f t="shared" si="102"/>
        <v>0.88999006105352829</v>
      </c>
      <c r="J813" s="766">
        <f t="shared" si="102"/>
        <v>0.9164908553527783</v>
      </c>
      <c r="K813" s="766">
        <f t="shared" si="102"/>
        <v>0.94274611871590763</v>
      </c>
      <c r="L813" s="766">
        <f t="shared" si="102"/>
        <v>0.96525028611808805</v>
      </c>
      <c r="M813" s="766">
        <f t="shared" si="102"/>
        <v>0.97519340069466376</v>
      </c>
      <c r="N813" s="766">
        <f t="shared" si="102"/>
        <v>0.98837668828602643</v>
      </c>
      <c r="O813" s="766">
        <f t="shared" si="102"/>
        <v>1</v>
      </c>
      <c r="P813" s="766">
        <f t="shared" si="102"/>
        <v>1</v>
      </c>
      <c r="Q813" s="767"/>
      <c r="R813" s="619"/>
    </row>
    <row r="814" spans="1:18" s="773" customFormat="1" ht="16.350000000000001" customHeight="1" outlineLevel="1">
      <c r="A814" s="339"/>
      <c r="B814" s="769" t="s">
        <v>722</v>
      </c>
      <c r="C814" s="770"/>
      <c r="D814" s="771">
        <f>(D806/AVERAGE(D743:E743))/365</f>
        <v>2.406517717911798</v>
      </c>
      <c r="E814" s="771">
        <f>(E806/AVERAGE(E743:F743))/365</f>
        <v>2.5167165597358698</v>
      </c>
      <c r="F814" s="771">
        <f>(F806/AVERAGE(F743:G743))/366</f>
        <v>2.6774622583503214</v>
      </c>
      <c r="G814" s="771">
        <f>(G806/AVERAGE(G743:H743))/365</f>
        <v>2.7185048525997395</v>
      </c>
      <c r="H814" s="771">
        <f>(H806/AVERAGE(H743:I743))/365</f>
        <v>2.8214917515892566</v>
      </c>
      <c r="I814" s="771">
        <f>(I806/AVERAGE(I743:J743))/365</f>
        <v>2.8023678984935998</v>
      </c>
      <c r="J814" s="771">
        <f>(J806/AVERAGE(J743:K743))/366</f>
        <v>2.8168461857816482</v>
      </c>
      <c r="K814" s="771">
        <f>(K806/AVERAGE(K743:L743))/365</f>
        <v>2.9345841325889968</v>
      </c>
      <c r="L814" s="771">
        <f>(L806/AVERAGE(L743:M743))/365</f>
        <v>3.0759509062747283</v>
      </c>
      <c r="M814" s="771">
        <f>(M806/AVERAGE(M743:N743))/365</f>
        <v>3.0964241940105421</v>
      </c>
      <c r="N814" s="771">
        <f>(N806/AVERAGE(N743:O743))/366</f>
        <v>3.3020421022211797</v>
      </c>
      <c r="O814" s="771">
        <f>(O806/AVERAGE(O743:P743))/365</f>
        <v>3.6050861699271661</v>
      </c>
      <c r="P814" s="771">
        <f>(P806/AVERAGE(P743:Q743))/365</f>
        <v>3.8733301237116287</v>
      </c>
      <c r="Q814" s="772"/>
      <c r="R814" s="619"/>
    </row>
    <row r="815" spans="1:18" s="778" customFormat="1" ht="16.350000000000001" customHeight="1" outlineLevel="1">
      <c r="A815" s="339"/>
      <c r="B815" s="774" t="s">
        <v>723</v>
      </c>
      <c r="C815" s="775"/>
      <c r="D815" s="776">
        <f>D749/D806</f>
        <v>248.73457572331529</v>
      </c>
      <c r="E815" s="776">
        <f>E749/E806</f>
        <v>248.5913509987866</v>
      </c>
      <c r="F815" s="776">
        <f t="shared" ref="F815:P815" si="103">F749/F806</f>
        <v>245.38277382689978</v>
      </c>
      <c r="G815" s="776">
        <f t="shared" si="103"/>
        <v>244.00659359777313</v>
      </c>
      <c r="H815" s="776">
        <f t="shared" si="103"/>
        <v>225.06506047562473</v>
      </c>
      <c r="I815" s="776">
        <f t="shared" si="103"/>
        <v>205.48231207865553</v>
      </c>
      <c r="J815" s="776">
        <f t="shared" si="103"/>
        <v>195.445638059261</v>
      </c>
      <c r="K815" s="776">
        <f t="shared" si="103"/>
        <v>185.59988518203164</v>
      </c>
      <c r="L815" s="776">
        <f t="shared" si="103"/>
        <v>168.94790115774322</v>
      </c>
      <c r="M815" s="776">
        <f t="shared" si="103"/>
        <v>158.37906506121624</v>
      </c>
      <c r="N815" s="776">
        <f t="shared" si="103"/>
        <v>149.23795187807229</v>
      </c>
      <c r="O815" s="776">
        <f t="shared" si="103"/>
        <v>121.64645302943175</v>
      </c>
      <c r="P815" s="776">
        <f t="shared" si="103"/>
        <v>106.38962662084049</v>
      </c>
      <c r="Q815" s="777"/>
      <c r="R815" s="619"/>
    </row>
    <row r="816" spans="1:18" s="781" customFormat="1" ht="16.350000000000001" customHeight="1" outlineLevel="1">
      <c r="A816" s="339"/>
      <c r="B816" s="779"/>
      <c r="C816" s="617"/>
      <c r="D816" s="617"/>
      <c r="E816" s="617"/>
      <c r="F816" s="617"/>
      <c r="G816" s="617"/>
      <c r="H816" s="617"/>
      <c r="I816" s="617"/>
      <c r="J816" s="617"/>
      <c r="K816" s="617"/>
      <c r="L816" s="617"/>
      <c r="M816" s="623"/>
      <c r="N816" s="623"/>
      <c r="O816" s="623"/>
      <c r="P816" s="623"/>
      <c r="Q816" s="780"/>
      <c r="R816" s="619"/>
    </row>
    <row r="817" spans="1:18" s="787" customFormat="1" ht="16.350000000000001" customHeight="1" outlineLevel="1">
      <c r="A817" s="344"/>
      <c r="B817" s="782" t="s">
        <v>724</v>
      </c>
      <c r="C817" s="783"/>
      <c r="D817" s="783">
        <v>5378.4285218052828</v>
      </c>
      <c r="E817" s="783">
        <v>4139</v>
      </c>
      <c r="F817" s="783">
        <v>3842</v>
      </c>
      <c r="G817" s="783">
        <v>3723</v>
      </c>
      <c r="H817" s="784">
        <v>3472</v>
      </c>
      <c r="I817" s="784">
        <v>3051</v>
      </c>
      <c r="J817" s="784">
        <v>3008</v>
      </c>
      <c r="K817" s="784">
        <v>3145</v>
      </c>
      <c r="L817" s="784">
        <v>3251</v>
      </c>
      <c r="M817" s="784">
        <v>3454</v>
      </c>
      <c r="N817" s="784">
        <v>3600</v>
      </c>
      <c r="O817" s="784">
        <v>3570</v>
      </c>
      <c r="P817" s="785"/>
      <c r="Q817" s="786"/>
      <c r="R817" s="573"/>
    </row>
    <row r="818" spans="1:18" s="792" customFormat="1" ht="16.350000000000001" customHeight="1" outlineLevel="1">
      <c r="A818" s="344"/>
      <c r="B818" s="788" t="s">
        <v>725</v>
      </c>
      <c r="C818" s="789"/>
      <c r="D818" s="790">
        <v>0.88023918130583212</v>
      </c>
      <c r="E818" s="790">
        <v>0.88818483259118397</v>
      </c>
      <c r="F818" s="790">
        <v>0.89019999999999999</v>
      </c>
      <c r="G818" s="790">
        <v>0.89049999999999996</v>
      </c>
      <c r="H818" s="790">
        <v>0.91449999999999998</v>
      </c>
      <c r="I818" s="790">
        <v>0.88539999999999996</v>
      </c>
      <c r="J818" s="790">
        <v>0.88460000000000005</v>
      </c>
      <c r="K818" s="790">
        <v>0.8841</v>
      </c>
      <c r="L818" s="790">
        <v>0.872</v>
      </c>
      <c r="M818" s="790">
        <v>0.87690000000000001</v>
      </c>
      <c r="N818" s="790">
        <v>0.88300000000000001</v>
      </c>
      <c r="O818" s="790">
        <v>0.879</v>
      </c>
      <c r="P818" s="790">
        <v>0.871</v>
      </c>
      <c r="Q818" s="791"/>
      <c r="R818" s="573"/>
    </row>
    <row r="819" spans="1:18" s="792" customFormat="1" ht="16.350000000000001" customHeight="1" outlineLevel="1">
      <c r="A819" s="344"/>
      <c r="B819" s="788" t="s">
        <v>726</v>
      </c>
      <c r="C819" s="789"/>
      <c r="D819" s="790">
        <v>0.11976081869416788</v>
      </c>
      <c r="E819" s="790">
        <v>0.11181516740881603</v>
      </c>
      <c r="F819" s="790">
        <v>0.10979999999999999</v>
      </c>
      <c r="G819" s="790">
        <f>1-G818</f>
        <v>0.10950000000000004</v>
      </c>
      <c r="H819" s="790">
        <f>1-H818</f>
        <v>8.550000000000002E-2</v>
      </c>
      <c r="I819" s="790">
        <f>1-I818</f>
        <v>0.11460000000000004</v>
      </c>
      <c r="J819" s="790">
        <f>1-J818</f>
        <v>0.11539999999999995</v>
      </c>
      <c r="K819" s="790">
        <f>1-K818</f>
        <v>0.1159</v>
      </c>
      <c r="L819" s="790">
        <v>0.128</v>
      </c>
      <c r="M819" s="790">
        <f>1-M818</f>
        <v>0.12309999999999999</v>
      </c>
      <c r="N819" s="790">
        <f>1-N818</f>
        <v>0.11699999999999999</v>
      </c>
      <c r="O819" s="790">
        <f>1-O818</f>
        <v>0.121</v>
      </c>
      <c r="P819" s="790">
        <f>1-P818</f>
        <v>0.129</v>
      </c>
      <c r="Q819" s="791"/>
      <c r="R819" s="573"/>
    </row>
    <row r="820" spans="1:18" s="792" customFormat="1" ht="16.350000000000001" customHeight="1" outlineLevel="1">
      <c r="A820" s="344"/>
      <c r="B820" s="788" t="s">
        <v>727</v>
      </c>
      <c r="C820" s="789"/>
      <c r="D820" s="790">
        <v>8.3053690022329901E-2</v>
      </c>
      <c r="E820" s="790">
        <v>0.10305721838428354</v>
      </c>
      <c r="F820" s="790">
        <v>0.11260000000000001</v>
      </c>
      <c r="G820" s="790">
        <v>0.1232</v>
      </c>
      <c r="H820" s="790">
        <v>0.12720000000000001</v>
      </c>
      <c r="I820" s="790">
        <v>0.1467</v>
      </c>
      <c r="J820" s="790">
        <v>0.1469</v>
      </c>
      <c r="K820" s="790">
        <v>0.15060000000000001</v>
      </c>
      <c r="L820" s="790">
        <v>0.13200000000000001</v>
      </c>
      <c r="M820" s="790">
        <v>0.12759999999999999</v>
      </c>
      <c r="N820" s="790">
        <v>0.124</v>
      </c>
      <c r="O820" s="790">
        <v>0.12</v>
      </c>
      <c r="P820" s="790">
        <v>0.109</v>
      </c>
      <c r="Q820" s="791"/>
      <c r="R820" s="573"/>
    </row>
    <row r="821" spans="1:18" s="792" customFormat="1" ht="16.350000000000001" customHeight="1" outlineLevel="1">
      <c r="A821" s="344"/>
      <c r="B821" s="793"/>
      <c r="C821" s="789"/>
      <c r="D821" s="794"/>
      <c r="E821" s="794"/>
      <c r="F821" s="794"/>
      <c r="G821" s="794"/>
      <c r="H821" s="794"/>
      <c r="I821" s="794"/>
      <c r="J821" s="794"/>
      <c r="K821" s="794"/>
      <c r="L821" s="794"/>
      <c r="M821" s="794"/>
      <c r="N821" s="794"/>
      <c r="O821" s="794"/>
      <c r="P821" s="794"/>
      <c r="Q821" s="789"/>
      <c r="R821" s="573"/>
    </row>
    <row r="822" spans="1:18" s="799" customFormat="1" ht="19.350000000000001" customHeight="1">
      <c r="A822" s="1564" t="s">
        <v>728</v>
      </c>
      <c r="B822" s="1565"/>
      <c r="C822" s="795"/>
      <c r="D822" s="796"/>
      <c r="E822" s="796"/>
      <c r="F822" s="796"/>
      <c r="G822" s="796"/>
      <c r="H822" s="797"/>
      <c r="I822" s="797"/>
      <c r="J822" s="797"/>
      <c r="K822" s="797"/>
      <c r="L822" s="797"/>
      <c r="M822" s="797"/>
      <c r="N822" s="797"/>
      <c r="O822" s="797"/>
      <c r="P822" s="797"/>
      <c r="Q822" s="797"/>
      <c r="R822" s="798"/>
    </row>
    <row r="823" spans="1:18" s="574" customFormat="1" ht="16.350000000000001" customHeight="1" outlineLevel="1">
      <c r="A823" s="344"/>
      <c r="B823" s="568" t="s">
        <v>233</v>
      </c>
      <c r="C823" s="569"/>
      <c r="D823" s="570">
        <v>-3.2811164659405062E-2</v>
      </c>
      <c r="E823" s="570">
        <v>-9.6302664732001095E-2</v>
      </c>
      <c r="F823" s="570">
        <v>-9.4418574117279525E-2</v>
      </c>
      <c r="G823" s="570">
        <v>1.3804204919508723E-2</v>
      </c>
      <c r="H823" s="570">
        <v>0.14481100116152046</v>
      </c>
      <c r="I823" s="570">
        <v>9.686558911948133E-2</v>
      </c>
      <c r="J823" s="570">
        <v>5.2600000000000001E-2</v>
      </c>
      <c r="K823" s="571">
        <v>6.6500000000000004E-2</v>
      </c>
      <c r="L823" s="571">
        <v>0.15529999999999999</v>
      </c>
      <c r="M823" s="800"/>
      <c r="N823" s="800"/>
      <c r="O823" s="800"/>
      <c r="P823" s="800"/>
      <c r="Q823" s="572"/>
      <c r="R823" s="573"/>
    </row>
    <row r="824" spans="1:18" s="579" customFormat="1" ht="16.350000000000001" customHeight="1" outlineLevel="1">
      <c r="A824" s="344"/>
      <c r="B824" s="575" t="s">
        <v>651</v>
      </c>
      <c r="C824" s="576"/>
      <c r="D824" s="577">
        <v>-2.0459232807546811E-2</v>
      </c>
      <c r="E824" s="577">
        <v>-2.269598183354319E-2</v>
      </c>
      <c r="F824" s="577">
        <v>-1.1065752602390209E-2</v>
      </c>
      <c r="G824" s="577">
        <v>5.3339383351234636E-2</v>
      </c>
      <c r="H824" s="577">
        <v>7.9562082652775423E-2</v>
      </c>
      <c r="I824" s="577">
        <v>2.9931710352493517E-2</v>
      </c>
      <c r="J824" s="577">
        <v>3.2300000000000002E-2</v>
      </c>
      <c r="K824" s="578">
        <v>5.2600000000000001E-2</v>
      </c>
      <c r="L824" s="578">
        <v>5.2600000000000001E-2</v>
      </c>
      <c r="M824" s="800"/>
      <c r="N824" s="800"/>
      <c r="O824" s="800"/>
      <c r="P824" s="595"/>
      <c r="Q824" s="572"/>
      <c r="R824" s="573"/>
    </row>
    <row r="825" spans="1:18" s="579" customFormat="1" ht="16.350000000000001" customHeight="1" outlineLevel="1">
      <c r="A825" s="344"/>
      <c r="B825" s="575" t="s">
        <v>652</v>
      </c>
      <c r="C825" s="576"/>
      <c r="D825" s="577">
        <v>-1.2609921164651223E-2</v>
      </c>
      <c r="E825" s="577">
        <v>-7.5316054707882177E-2</v>
      </c>
      <c r="F825" s="577">
        <v>-8.4285504050681873E-2</v>
      </c>
      <c r="G825" s="580">
        <v>-3.7533181666428675E-2</v>
      </c>
      <c r="H825" s="577">
        <v>6.0440172508107161E-2</v>
      </c>
      <c r="I825" s="577">
        <v>6.4988657106285083E-2</v>
      </c>
      <c r="J825" s="577">
        <v>2.07E-2</v>
      </c>
      <c r="K825" s="578">
        <v>1.32E-2</v>
      </c>
      <c r="L825" s="578">
        <v>9.7600000000000006E-2</v>
      </c>
      <c r="M825" s="800"/>
      <c r="N825" s="800"/>
      <c r="O825" s="800"/>
      <c r="P825" s="595"/>
      <c r="Q825" s="572"/>
      <c r="R825" s="573"/>
    </row>
    <row r="826" spans="1:18" s="585" customFormat="1" ht="16.350000000000001" customHeight="1" outlineLevel="1">
      <c r="A826" s="344"/>
      <c r="B826" s="581" t="s">
        <v>653</v>
      </c>
      <c r="C826" s="582"/>
      <c r="D826" s="582"/>
      <c r="E826" s="582">
        <v>386</v>
      </c>
      <c r="F826" s="582">
        <v>344</v>
      </c>
      <c r="G826" s="582">
        <v>255</v>
      </c>
      <c r="H826" s="582">
        <v>185</v>
      </c>
      <c r="I826" s="582">
        <v>129</v>
      </c>
      <c r="J826" s="582">
        <v>25</v>
      </c>
      <c r="K826" s="583">
        <v>14</v>
      </c>
      <c r="L826" s="584">
        <v>7</v>
      </c>
      <c r="M826" s="800"/>
      <c r="N826" s="800"/>
      <c r="O826" s="800"/>
      <c r="P826" s="584"/>
      <c r="Q826" s="572"/>
      <c r="R826" s="573"/>
    </row>
    <row r="827" spans="1:18" s="750" customFormat="1" ht="16.350000000000001" customHeight="1" outlineLevel="1">
      <c r="A827" s="344"/>
      <c r="B827" s="586"/>
      <c r="C827" s="801"/>
      <c r="D827" s="802"/>
      <c r="E827" s="802"/>
      <c r="F827" s="802"/>
      <c r="G827" s="802"/>
      <c r="H827" s="802"/>
      <c r="I827" s="802"/>
      <c r="J827" s="802"/>
      <c r="K827" s="802"/>
      <c r="L827" s="802"/>
      <c r="M827" s="800"/>
      <c r="N827" s="800"/>
      <c r="O827" s="800"/>
      <c r="P827" s="803"/>
      <c r="Q827" s="804"/>
      <c r="R827" s="573"/>
    </row>
    <row r="828" spans="1:18" s="750" customFormat="1" ht="16.350000000000001" customHeight="1" outlineLevel="1">
      <c r="A828" s="344"/>
      <c r="B828" s="591" t="s">
        <v>654</v>
      </c>
      <c r="C828" s="805"/>
      <c r="D828" s="806">
        <v>-6.9473965265678212E-3</v>
      </c>
      <c r="E828" s="806">
        <v>-6.1807068117638628E-2</v>
      </c>
      <c r="F828" s="806">
        <v>-0.10984153643500913</v>
      </c>
      <c r="G828" s="807">
        <v>-7.5951730184431951E-2</v>
      </c>
      <c r="H828" s="807">
        <v>0.16739593103892589</v>
      </c>
      <c r="I828" s="807">
        <v>6.8980654208346023E-2</v>
      </c>
      <c r="J828" s="807">
        <v>0.1143</v>
      </c>
      <c r="K828" s="807">
        <v>5.45E-2</v>
      </c>
      <c r="L828" s="807">
        <v>0.18729999999999999</v>
      </c>
      <c r="M828" s="800"/>
      <c r="N828" s="800"/>
      <c r="O828" s="800"/>
      <c r="P828" s="732"/>
      <c r="Q828" s="615"/>
      <c r="R828" s="573"/>
    </row>
    <row r="829" spans="1:18" s="750" customFormat="1" ht="16.350000000000001" customHeight="1" outlineLevel="2">
      <c r="A829" s="344"/>
      <c r="B829" s="593" t="s">
        <v>655</v>
      </c>
      <c r="C829" s="805"/>
      <c r="D829" s="806">
        <v>1.1432875332323379E-2</v>
      </c>
      <c r="E829" s="806">
        <v>-3.4688145681834766E-2</v>
      </c>
      <c r="F829" s="806">
        <v>6.1822495366076176E-3</v>
      </c>
      <c r="G829" s="807">
        <v>-4.5105364185926648E-3</v>
      </c>
      <c r="H829" s="807">
        <v>0.10859164101469125</v>
      </c>
      <c r="I829" s="807">
        <v>2.1445702984497227E-2</v>
      </c>
      <c r="J829" s="807">
        <v>6.1899999999999997E-2</v>
      </c>
      <c r="K829" s="807">
        <v>4.1399999999999999E-2</v>
      </c>
      <c r="L829" s="807">
        <v>9.6299999999999997E-2</v>
      </c>
      <c r="M829" s="800"/>
      <c r="N829" s="800"/>
      <c r="O829" s="800"/>
      <c r="P829" s="732"/>
      <c r="Q829" s="615"/>
      <c r="R829" s="573"/>
    </row>
    <row r="830" spans="1:18" s="750" customFormat="1" ht="16.350000000000001" customHeight="1" outlineLevel="2">
      <c r="A830" s="344"/>
      <c r="B830" s="593" t="s">
        <v>656</v>
      </c>
      <c r="C830" s="808"/>
      <c r="D830" s="809">
        <v>-1.8172507842254625E-2</v>
      </c>
      <c r="E830" s="809">
        <v>-2.8093431479673407E-2</v>
      </c>
      <c r="F830" s="809">
        <v>-0.11531090518149269</v>
      </c>
      <c r="G830" s="809">
        <v>-7.1764891924440743E-2</v>
      </c>
      <c r="H830" s="810">
        <v>5.3044139833501973E-2</v>
      </c>
      <c r="I830" s="810">
        <v>4.6536933960326501E-2</v>
      </c>
      <c r="J830" s="810">
        <v>4.9299999999999997E-2</v>
      </c>
      <c r="K830" s="810">
        <v>1.2500000000000001E-2</v>
      </c>
      <c r="L830" s="811">
        <v>8.3000000000000004E-2</v>
      </c>
      <c r="M830" s="800"/>
      <c r="N830" s="800"/>
      <c r="O830" s="800"/>
      <c r="P830" s="812"/>
      <c r="Q830" s="813"/>
      <c r="R830" s="573"/>
    </row>
    <row r="831" spans="1:18" s="750" customFormat="1" ht="16.350000000000001" customHeight="1" outlineLevel="2">
      <c r="A831" s="344"/>
      <c r="B831" s="596" t="s">
        <v>657</v>
      </c>
      <c r="C831" s="801"/>
      <c r="D831" s="801"/>
      <c r="E831" s="801">
        <v>391</v>
      </c>
      <c r="F831" s="801">
        <v>347</v>
      </c>
      <c r="G831" s="732">
        <v>258</v>
      </c>
      <c r="H831" s="801">
        <v>186</v>
      </c>
      <c r="I831" s="801">
        <v>130</v>
      </c>
      <c r="J831" s="801">
        <v>50</v>
      </c>
      <c r="K831" s="801">
        <v>24</v>
      </c>
      <c r="L831" s="801">
        <v>14</v>
      </c>
      <c r="M831" s="800"/>
      <c r="N831" s="800"/>
      <c r="O831" s="800"/>
      <c r="P831" s="732"/>
      <c r="Q831" s="615"/>
      <c r="R831" s="573"/>
    </row>
    <row r="832" spans="1:18" s="750" customFormat="1" ht="16.350000000000001" customHeight="1" outlineLevel="2">
      <c r="A832" s="344"/>
      <c r="B832" s="598"/>
      <c r="C832" s="801"/>
      <c r="D832" s="802"/>
      <c r="E832" s="802"/>
      <c r="F832" s="802"/>
      <c r="G832" s="802"/>
      <c r="H832" s="802"/>
      <c r="I832" s="802"/>
      <c r="J832" s="802"/>
      <c r="K832" s="802"/>
      <c r="L832" s="802"/>
      <c r="M832" s="800"/>
      <c r="N832" s="800"/>
      <c r="O832" s="800"/>
      <c r="P832" s="732"/>
      <c r="Q832" s="615"/>
      <c r="R832" s="573"/>
    </row>
    <row r="833" spans="1:18" s="750" customFormat="1" ht="16.350000000000001" customHeight="1" outlineLevel="1">
      <c r="A833" s="344"/>
      <c r="B833" s="591" t="s">
        <v>729</v>
      </c>
      <c r="C833" s="805"/>
      <c r="D833" s="806">
        <v>-1.6395971913201305E-2</v>
      </c>
      <c r="E833" s="806">
        <v>-8.3340122802662758E-2</v>
      </c>
      <c r="F833" s="806">
        <v>-7.6325957074281844E-2</v>
      </c>
      <c r="G833" s="807">
        <v>-9.1680136030444902E-3</v>
      </c>
      <c r="H833" s="807">
        <v>0.14983173052660573</v>
      </c>
      <c r="I833" s="807">
        <v>8.0617132787713014E-2</v>
      </c>
      <c r="J833" s="807">
        <v>9.8000000000000004E-2</v>
      </c>
      <c r="K833" s="807">
        <v>3.3500000000000002E-2</v>
      </c>
      <c r="L833" s="807">
        <v>0.21360000000000001</v>
      </c>
      <c r="M833" s="800"/>
      <c r="N833" s="800"/>
      <c r="O833" s="800"/>
      <c r="P833" s="732"/>
      <c r="Q833" s="615"/>
      <c r="R833" s="573"/>
    </row>
    <row r="834" spans="1:18" s="750" customFormat="1" ht="16.350000000000001" customHeight="1" outlineLevel="2">
      <c r="A834" s="344"/>
      <c r="B834" s="593" t="s">
        <v>659</v>
      </c>
      <c r="C834" s="805"/>
      <c r="D834" s="806">
        <v>-1.8623341224279156E-2</v>
      </c>
      <c r="E834" s="806">
        <v>-2.0486684464620104E-2</v>
      </c>
      <c r="F834" s="806">
        <v>3.2610341643788837E-3</v>
      </c>
      <c r="G834" s="807">
        <v>3.8426161874586778E-2</v>
      </c>
      <c r="H834" s="807">
        <v>7.6172651708333206E-2</v>
      </c>
      <c r="I834" s="807">
        <v>2.0445635165789792E-2</v>
      </c>
      <c r="J834" s="807">
        <v>4.87E-2</v>
      </c>
      <c r="K834" s="807">
        <v>4.6699999999999998E-2</v>
      </c>
      <c r="L834" s="807">
        <v>7.1800000000000003E-2</v>
      </c>
      <c r="M834" s="800"/>
      <c r="N834" s="800"/>
      <c r="O834" s="800"/>
      <c r="P834" s="732"/>
      <c r="Q834" s="615"/>
      <c r="R834" s="573"/>
    </row>
    <row r="835" spans="1:18" s="750" customFormat="1" ht="16.350000000000001" customHeight="1" outlineLevel="2">
      <c r="A835" s="344"/>
      <c r="B835" s="593" t="s">
        <v>660</v>
      </c>
      <c r="C835" s="808"/>
      <c r="D835" s="809">
        <v>2.2696375455438234E-3</v>
      </c>
      <c r="E835" s="809">
        <v>-6.4168028490443146E-2</v>
      </c>
      <c r="F835" s="809">
        <v>-7.9328298945597134E-2</v>
      </c>
      <c r="G835" s="809">
        <v>-4.5832989600063094E-2</v>
      </c>
      <c r="H835" s="810">
        <v>6.8445410410072044E-2</v>
      </c>
      <c r="I835" s="810">
        <v>5.8965902296350375E-2</v>
      </c>
      <c r="J835" s="810">
        <v>4.7E-2</v>
      </c>
      <c r="K835" s="810">
        <v>-1.2699999999999999E-2</v>
      </c>
      <c r="L835" s="811">
        <v>0.13220000000000001</v>
      </c>
      <c r="M835" s="800"/>
      <c r="N835" s="800"/>
      <c r="O835" s="800"/>
      <c r="P835" s="812"/>
      <c r="Q835" s="813"/>
      <c r="R835" s="573"/>
    </row>
    <row r="836" spans="1:18" s="750" customFormat="1" ht="16.350000000000001" customHeight="1" outlineLevel="2">
      <c r="A836" s="344"/>
      <c r="B836" s="596" t="s">
        <v>661</v>
      </c>
      <c r="C836" s="801"/>
      <c r="D836" s="801">
        <v>407</v>
      </c>
      <c r="E836" s="801">
        <v>380</v>
      </c>
      <c r="F836" s="801">
        <v>323</v>
      </c>
      <c r="G836" s="732">
        <v>231</v>
      </c>
      <c r="H836" s="801">
        <v>176</v>
      </c>
      <c r="I836" s="801">
        <v>112</v>
      </c>
      <c r="J836" s="801">
        <v>35</v>
      </c>
      <c r="K836" s="801">
        <v>22</v>
      </c>
      <c r="L836" s="801">
        <v>11</v>
      </c>
      <c r="M836" s="800"/>
      <c r="N836" s="800"/>
      <c r="O836" s="800"/>
      <c r="P836" s="732"/>
      <c r="Q836" s="615"/>
      <c r="R836" s="573"/>
    </row>
    <row r="837" spans="1:18" s="750" customFormat="1" ht="16.350000000000001" customHeight="1" outlineLevel="2">
      <c r="A837" s="344"/>
      <c r="B837" s="598"/>
      <c r="C837" s="801"/>
      <c r="D837" s="802"/>
      <c r="E837" s="802"/>
      <c r="F837" s="802"/>
      <c r="G837" s="802"/>
      <c r="H837" s="802"/>
      <c r="I837" s="802"/>
      <c r="J837" s="802"/>
      <c r="K837" s="802"/>
      <c r="L837" s="802"/>
      <c r="M837" s="800"/>
      <c r="N837" s="800"/>
      <c r="O837" s="800"/>
      <c r="P837" s="732"/>
      <c r="Q837" s="615"/>
      <c r="R837" s="573"/>
    </row>
    <row r="838" spans="1:18" s="750" customFormat="1" ht="16.350000000000001" customHeight="1" outlineLevel="1">
      <c r="A838" s="344"/>
      <c r="B838" s="591" t="s">
        <v>662</v>
      </c>
      <c r="C838" s="805"/>
      <c r="D838" s="806">
        <v>-6.4049189243810242E-2</v>
      </c>
      <c r="E838" s="806">
        <v>-9.4453909295333344E-2</v>
      </c>
      <c r="F838" s="806">
        <v>-0.10384958983870647</v>
      </c>
      <c r="G838" s="807">
        <v>3.1215023973489481E-2</v>
      </c>
      <c r="H838" s="807">
        <v>0.1544910136121288</v>
      </c>
      <c r="I838" s="807">
        <v>0.12132714837626118</v>
      </c>
      <c r="J838" s="807">
        <v>7.3099999999999998E-2</v>
      </c>
      <c r="K838" s="807">
        <v>0.1145</v>
      </c>
      <c r="L838" s="807">
        <v>0.1502</v>
      </c>
      <c r="M838" s="800"/>
      <c r="N838" s="800"/>
      <c r="O838" s="800"/>
      <c r="P838" s="732"/>
      <c r="Q838" s="615"/>
      <c r="R838" s="573"/>
    </row>
    <row r="839" spans="1:18" s="750" customFormat="1" ht="16.350000000000001" customHeight="1" outlineLevel="2">
      <c r="A839" s="344"/>
      <c r="B839" s="593" t="s">
        <v>663</v>
      </c>
      <c r="C839" s="805"/>
      <c r="D839" s="806">
        <v>-5.2583482432157359E-2</v>
      </c>
      <c r="E839" s="806">
        <v>-1.0731141702264297E-2</v>
      </c>
      <c r="F839" s="806">
        <v>-1.3603216510931909E-2</v>
      </c>
      <c r="G839" s="807">
        <v>6.3503661144228701E-2</v>
      </c>
      <c r="H839" s="807">
        <v>8.1015476371943021E-2</v>
      </c>
      <c r="I839" s="807">
        <v>3.5596567437629512E-2</v>
      </c>
      <c r="J839" s="807">
        <v>4.2000000000000003E-2</v>
      </c>
      <c r="K839" s="807">
        <v>9.2299999999999993E-2</v>
      </c>
      <c r="L839" s="807">
        <v>3.0599999999999999E-2</v>
      </c>
      <c r="M839" s="800"/>
      <c r="N839" s="800"/>
      <c r="O839" s="800"/>
      <c r="P839" s="732"/>
      <c r="Q839" s="615"/>
      <c r="R839" s="573"/>
    </row>
    <row r="840" spans="1:18" s="750" customFormat="1" ht="16.350000000000001" customHeight="1" outlineLevel="2">
      <c r="A840" s="344"/>
      <c r="B840" s="593" t="s">
        <v>664</v>
      </c>
      <c r="C840" s="808"/>
      <c r="D840" s="809">
        <v>-1.2102076118629429E-2</v>
      </c>
      <c r="E840" s="809">
        <v>-8.4630954356668286E-2</v>
      </c>
      <c r="F840" s="809">
        <v>-9.1490944453971518E-2</v>
      </c>
      <c r="G840" s="809">
        <v>-3.0360626249278395E-2</v>
      </c>
      <c r="H840" s="810">
        <v>6.7968996601955489E-2</v>
      </c>
      <c r="I840" s="810">
        <v>8.2783763131577565E-2</v>
      </c>
      <c r="J840" s="810">
        <v>2.98E-2</v>
      </c>
      <c r="K840" s="810">
        <v>2.0299999999999999E-2</v>
      </c>
      <c r="L840" s="811">
        <v>0.11609999999999999</v>
      </c>
      <c r="M840" s="800"/>
      <c r="N840" s="800"/>
      <c r="O840" s="800"/>
      <c r="P840" s="812"/>
      <c r="Q840" s="813"/>
      <c r="R840" s="573"/>
    </row>
    <row r="841" spans="1:18" s="750" customFormat="1" ht="16.350000000000001" customHeight="1" outlineLevel="2">
      <c r="A841" s="344"/>
      <c r="B841" s="596" t="s">
        <v>665</v>
      </c>
      <c r="C841" s="801"/>
      <c r="D841" s="801">
        <v>398</v>
      </c>
      <c r="E841" s="801">
        <v>371</v>
      </c>
      <c r="F841" s="801">
        <v>305</v>
      </c>
      <c r="G841" s="732">
        <v>218</v>
      </c>
      <c r="H841" s="801">
        <v>158</v>
      </c>
      <c r="I841" s="801">
        <v>101</v>
      </c>
      <c r="J841" s="801">
        <v>31</v>
      </c>
      <c r="K841" s="801">
        <v>19</v>
      </c>
      <c r="L841" s="801">
        <v>10</v>
      </c>
      <c r="M841" s="800"/>
      <c r="N841" s="800"/>
      <c r="O841" s="800"/>
      <c r="P841" s="732"/>
      <c r="Q841" s="615"/>
      <c r="R841" s="573"/>
    </row>
    <row r="842" spans="1:18" s="750" customFormat="1" ht="16.350000000000001" customHeight="1" outlineLevel="2">
      <c r="A842" s="344"/>
      <c r="B842" s="598"/>
      <c r="C842" s="801"/>
      <c r="D842" s="802"/>
      <c r="E842" s="802"/>
      <c r="F842" s="802"/>
      <c r="G842" s="802"/>
      <c r="H842" s="802"/>
      <c r="I842" s="802"/>
      <c r="J842" s="802"/>
      <c r="K842" s="802"/>
      <c r="L842" s="802"/>
      <c r="M842" s="800"/>
      <c r="N842" s="800"/>
      <c r="O842" s="800"/>
      <c r="P842" s="732"/>
      <c r="Q842" s="615"/>
      <c r="R842" s="573"/>
    </row>
    <row r="843" spans="1:18" s="750" customFormat="1" ht="16.350000000000001" customHeight="1" outlineLevel="1">
      <c r="A843" s="344"/>
      <c r="B843" s="591" t="s">
        <v>730</v>
      </c>
      <c r="C843" s="806">
        <v>-3.2000000000000001E-2</v>
      </c>
      <c r="D843" s="806">
        <v>-4.3866258347194452E-2</v>
      </c>
      <c r="E843" s="806">
        <v>-0.14935788587060286</v>
      </c>
      <c r="F843" s="806">
        <v>-8.1721835391577832E-2</v>
      </c>
      <c r="G843" s="807">
        <v>0.15219064109443928</v>
      </c>
      <c r="H843" s="807">
        <v>9.6840009512324993E-2</v>
      </c>
      <c r="I843" s="807">
        <v>0.13110462455414459</v>
      </c>
      <c r="J843" s="807">
        <v>7.3700000000000002E-2</v>
      </c>
      <c r="K843" s="807">
        <v>0.1348</v>
      </c>
      <c r="L843" s="807">
        <v>0.1215</v>
      </c>
      <c r="M843" s="800"/>
      <c r="N843" s="800"/>
      <c r="O843" s="800"/>
      <c r="P843" s="732"/>
      <c r="Q843" s="615"/>
      <c r="R843" s="573"/>
    </row>
    <row r="844" spans="1:18" s="750" customFormat="1" ht="16.350000000000001" customHeight="1" outlineLevel="2">
      <c r="A844" s="344"/>
      <c r="B844" s="593" t="s">
        <v>667</v>
      </c>
      <c r="C844" s="806">
        <v>1.2999999999999999E-2</v>
      </c>
      <c r="D844" s="806">
        <v>-2.1913481702555384E-2</v>
      </c>
      <c r="E844" s="806">
        <v>-2.3880718508866593E-2</v>
      </c>
      <c r="F844" s="806">
        <v>-4.1185712765588127E-2</v>
      </c>
      <c r="G844" s="807">
        <v>0.14418663966357048</v>
      </c>
      <c r="H844" s="807">
        <v>4.2169019881337366E-2</v>
      </c>
      <c r="I844" s="807">
        <v>4.9782825677308587E-2</v>
      </c>
      <c r="J844" s="807">
        <v>3.8699999999999998E-2</v>
      </c>
      <c r="K844" s="807">
        <v>8.5000000000000006E-2</v>
      </c>
      <c r="L844" s="807">
        <v>2.7400000000000001E-2</v>
      </c>
      <c r="M844" s="800"/>
      <c r="N844" s="800"/>
      <c r="O844" s="800"/>
      <c r="P844" s="732"/>
      <c r="Q844" s="615"/>
      <c r="R844" s="573"/>
    </row>
    <row r="845" spans="1:18" s="750" customFormat="1" ht="16.350000000000001" customHeight="1" outlineLevel="2">
      <c r="A845" s="344"/>
      <c r="B845" s="593" t="s">
        <v>668</v>
      </c>
      <c r="C845" s="809">
        <v>-4.4999999999999998E-2</v>
      </c>
      <c r="D845" s="809">
        <v>-2.2444616333994888E-2</v>
      </c>
      <c r="E845" s="809">
        <v>-0.1285469611562797</v>
      </c>
      <c r="F845" s="809">
        <v>-4.2277345222828736E-2</v>
      </c>
      <c r="G845" s="809">
        <v>6.9953634777822019E-3</v>
      </c>
      <c r="H845" s="810">
        <v>5.2458851288068965E-2</v>
      </c>
      <c r="I845" s="810">
        <v>7.7465354631199898E-2</v>
      </c>
      <c r="J845" s="810">
        <v>3.3700000000000001E-2</v>
      </c>
      <c r="K845" s="810">
        <v>4.5900000000000003E-2</v>
      </c>
      <c r="L845" s="811">
        <v>9.1700000000000004E-2</v>
      </c>
      <c r="M845" s="800"/>
      <c r="N845" s="800"/>
      <c r="O845" s="800"/>
      <c r="P845" s="812"/>
      <c r="Q845" s="813"/>
      <c r="R845" s="573"/>
    </row>
    <row r="846" spans="1:18" s="750" customFormat="1" ht="16.350000000000001" customHeight="1" outlineLevel="2">
      <c r="A846" s="344"/>
      <c r="B846" s="604" t="s">
        <v>669</v>
      </c>
      <c r="C846" s="814"/>
      <c r="D846" s="815">
        <v>401</v>
      </c>
      <c r="E846" s="815">
        <v>364</v>
      </c>
      <c r="F846" s="815">
        <v>289</v>
      </c>
      <c r="G846" s="816">
        <v>209</v>
      </c>
      <c r="H846" s="815">
        <v>149</v>
      </c>
      <c r="I846" s="815">
        <v>93</v>
      </c>
      <c r="J846" s="815">
        <v>25</v>
      </c>
      <c r="K846" s="815">
        <v>14</v>
      </c>
      <c r="L846" s="801">
        <v>7</v>
      </c>
      <c r="M846" s="800"/>
      <c r="N846" s="800"/>
      <c r="O846" s="800"/>
      <c r="P846" s="732"/>
      <c r="Q846" s="615"/>
      <c r="R846" s="573"/>
    </row>
    <row r="847" spans="1:18" s="750" customFormat="1" ht="16.350000000000001" customHeight="1" outlineLevel="2">
      <c r="A847" s="344"/>
      <c r="B847" s="609"/>
      <c r="C847" s="801"/>
      <c r="D847" s="802"/>
      <c r="E847" s="802"/>
      <c r="F847" s="802"/>
      <c r="G847" s="802"/>
      <c r="H847" s="802"/>
      <c r="I847" s="802"/>
      <c r="J847" s="802"/>
      <c r="K847" s="802"/>
      <c r="L847" s="802"/>
      <c r="M847" s="817"/>
      <c r="N847" s="817"/>
      <c r="O847" s="817"/>
      <c r="P847" s="817"/>
      <c r="Q847" s="818"/>
      <c r="R847" s="573"/>
    </row>
    <row r="848" spans="1:18" s="585" customFormat="1" ht="15.75" customHeight="1" outlineLevel="1">
      <c r="A848" s="344"/>
      <c r="B848" s="609"/>
      <c r="C848" s="819"/>
      <c r="D848" s="820"/>
      <c r="E848" s="820"/>
      <c r="F848" s="820"/>
      <c r="G848" s="820"/>
      <c r="H848" s="820"/>
      <c r="I848" s="820"/>
      <c r="J848" s="820"/>
      <c r="K848" s="820"/>
      <c r="L848" s="820"/>
      <c r="M848" s="820"/>
      <c r="N848" s="820"/>
      <c r="O848" s="820"/>
      <c r="P848" s="821"/>
      <c r="Q848" s="615"/>
      <c r="R848" s="745"/>
    </row>
    <row r="849" spans="1:18" s="620" customFormat="1" ht="16.350000000000001" customHeight="1" outlineLevel="1">
      <c r="A849" s="339"/>
      <c r="B849" s="616" t="s">
        <v>731</v>
      </c>
      <c r="C849" s="617"/>
      <c r="D849" s="617">
        <v>930620</v>
      </c>
      <c r="E849" s="617">
        <v>896430</v>
      </c>
      <c r="F849" s="617">
        <v>809320</v>
      </c>
      <c r="G849" s="617">
        <v>668160</v>
      </c>
      <c r="H849" s="617">
        <v>536140</v>
      </c>
      <c r="I849" s="617">
        <v>411980</v>
      </c>
      <c r="J849" s="617">
        <v>282250</v>
      </c>
      <c r="K849" s="617">
        <v>165080</v>
      </c>
      <c r="L849" s="617">
        <v>78110</v>
      </c>
      <c r="M849" s="617">
        <v>56365</v>
      </c>
      <c r="N849" s="617">
        <v>11590</v>
      </c>
      <c r="O849" s="617"/>
      <c r="P849" s="617"/>
      <c r="Q849" s="618"/>
      <c r="R849" s="619"/>
    </row>
    <row r="850" spans="1:18" s="823" customFormat="1" ht="16.350000000000001" customHeight="1" outlineLevel="1">
      <c r="A850" s="339"/>
      <c r="B850" s="822" t="s">
        <v>732</v>
      </c>
      <c r="C850" s="622"/>
      <c r="D850" s="622">
        <v>-6410</v>
      </c>
      <c r="E850" s="622">
        <v>-3300</v>
      </c>
      <c r="F850" s="622">
        <v>16360</v>
      </c>
      <c r="G850" s="622">
        <v>24990</v>
      </c>
      <c r="H850" s="623">
        <v>15480</v>
      </c>
      <c r="I850" s="623">
        <v>21300</v>
      </c>
      <c r="J850" s="623">
        <v>6050</v>
      </c>
      <c r="K850" s="623">
        <v>15920</v>
      </c>
      <c r="L850" s="623">
        <v>5453</v>
      </c>
      <c r="M850" s="623">
        <v>0</v>
      </c>
      <c r="N850" s="623">
        <v>12950</v>
      </c>
      <c r="O850" s="623"/>
      <c r="P850" s="623"/>
      <c r="Q850" s="618"/>
      <c r="R850" s="619"/>
    </row>
    <row r="851" spans="1:18" s="823" customFormat="1" ht="16.350000000000001" customHeight="1" outlineLevel="1">
      <c r="A851" s="339"/>
      <c r="B851" s="822" t="s">
        <v>733</v>
      </c>
      <c r="C851" s="622"/>
      <c r="D851" s="622">
        <v>8920</v>
      </c>
      <c r="E851" s="622">
        <v>6850</v>
      </c>
      <c r="F851" s="622">
        <v>21880</v>
      </c>
      <c r="G851" s="622">
        <v>19390</v>
      </c>
      <c r="H851" s="623">
        <v>19960</v>
      </c>
      <c r="I851" s="623">
        <v>21000</v>
      </c>
      <c r="J851" s="623">
        <v>21020</v>
      </c>
      <c r="K851" s="623">
        <v>19590</v>
      </c>
      <c r="L851" s="623">
        <v>7530</v>
      </c>
      <c r="M851" s="623">
        <v>8350</v>
      </c>
      <c r="N851" s="623">
        <v>10800</v>
      </c>
      <c r="O851" s="623"/>
      <c r="P851" s="623"/>
      <c r="Q851" s="618"/>
      <c r="R851" s="619"/>
    </row>
    <row r="852" spans="1:18" s="823" customFormat="1" ht="16.350000000000001" customHeight="1" outlineLevel="1">
      <c r="A852" s="339"/>
      <c r="B852" s="822" t="s">
        <v>734</v>
      </c>
      <c r="C852" s="622"/>
      <c r="D852" s="622">
        <v>-1930</v>
      </c>
      <c r="E852" s="622">
        <v>2170</v>
      </c>
      <c r="F852" s="622">
        <v>8120</v>
      </c>
      <c r="G852" s="622">
        <v>32240</v>
      </c>
      <c r="H852" s="623">
        <v>29240</v>
      </c>
      <c r="I852" s="623">
        <v>29610</v>
      </c>
      <c r="J852" s="623">
        <v>28990</v>
      </c>
      <c r="K852" s="623">
        <v>29760</v>
      </c>
      <c r="L852" s="623">
        <v>25207</v>
      </c>
      <c r="M852" s="623">
        <v>5940</v>
      </c>
      <c r="N852" s="623">
        <v>8400</v>
      </c>
      <c r="O852" s="623"/>
      <c r="P852" s="623"/>
      <c r="Q852" s="618"/>
      <c r="R852" s="619"/>
    </row>
    <row r="853" spans="1:18" s="823" customFormat="1" ht="16.350000000000001" customHeight="1" outlineLevel="1">
      <c r="A853" s="339"/>
      <c r="B853" s="822" t="s">
        <v>735</v>
      </c>
      <c r="C853" s="622"/>
      <c r="D853" s="622">
        <v>10880</v>
      </c>
      <c r="E853" s="622">
        <v>28490</v>
      </c>
      <c r="F853" s="622">
        <v>40750</v>
      </c>
      <c r="G853" s="622">
        <v>64540</v>
      </c>
      <c r="H853" s="623">
        <v>67350</v>
      </c>
      <c r="I853" s="623">
        <v>52260</v>
      </c>
      <c r="J853" s="623">
        <v>73670</v>
      </c>
      <c r="K853" s="623">
        <v>51900</v>
      </c>
      <c r="L853" s="623">
        <v>48780</v>
      </c>
      <c r="M853" s="623">
        <v>7455</v>
      </c>
      <c r="N853" s="623">
        <v>12625</v>
      </c>
      <c r="O853" s="623">
        <v>11590</v>
      </c>
      <c r="P853" s="623"/>
      <c r="Q853" s="618"/>
      <c r="R853" s="619"/>
    </row>
    <row r="854" spans="1:18" s="631" customFormat="1" ht="16.350000000000001" customHeight="1" outlineLevel="1">
      <c r="A854" s="339"/>
      <c r="B854" s="627" t="s">
        <v>675</v>
      </c>
      <c r="C854" s="628"/>
      <c r="D854" s="629">
        <v>11460</v>
      </c>
      <c r="E854" s="629">
        <v>34200</v>
      </c>
      <c r="F854" s="629">
        <v>87110</v>
      </c>
      <c r="G854" s="629">
        <v>141160</v>
      </c>
      <c r="H854" s="629">
        <v>132020</v>
      </c>
      <c r="I854" s="629">
        <v>124170</v>
      </c>
      <c r="J854" s="629">
        <v>129730</v>
      </c>
      <c r="K854" s="629">
        <v>117170</v>
      </c>
      <c r="L854" s="629">
        <v>86970</v>
      </c>
      <c r="M854" s="629">
        <v>21745</v>
      </c>
      <c r="N854" s="824">
        <v>44775</v>
      </c>
      <c r="O854" s="824">
        <v>11590</v>
      </c>
      <c r="P854" s="629"/>
      <c r="Q854" s="630"/>
      <c r="R854" s="619"/>
    </row>
    <row r="855" spans="1:18" s="635" customFormat="1" ht="16.350000000000001" customHeight="1" outlineLevel="1">
      <c r="A855" s="339"/>
      <c r="B855" s="632" t="s">
        <v>736</v>
      </c>
      <c r="C855" s="633"/>
      <c r="D855" s="633">
        <v>942080</v>
      </c>
      <c r="E855" s="633">
        <v>930620</v>
      </c>
      <c r="F855" s="633">
        <v>896430</v>
      </c>
      <c r="G855" s="633">
        <v>809320</v>
      </c>
      <c r="H855" s="633">
        <v>668160</v>
      </c>
      <c r="I855" s="633">
        <v>536140</v>
      </c>
      <c r="J855" s="633">
        <v>411980</v>
      </c>
      <c r="K855" s="633">
        <v>282250</v>
      </c>
      <c r="L855" s="633">
        <v>165080</v>
      </c>
      <c r="M855" s="633">
        <v>78110</v>
      </c>
      <c r="N855" s="633">
        <v>56365</v>
      </c>
      <c r="O855" s="633">
        <v>11590</v>
      </c>
      <c r="P855" s="633"/>
      <c r="Q855" s="634"/>
      <c r="R855" s="619"/>
    </row>
    <row r="856" spans="1:18" s="635" customFormat="1" ht="16.350000000000001" customHeight="1" outlineLevel="1">
      <c r="A856" s="339"/>
      <c r="B856" s="632"/>
      <c r="C856" s="636"/>
      <c r="D856" s="825"/>
      <c r="E856" s="825"/>
      <c r="F856" s="825"/>
      <c r="G856" s="825"/>
      <c r="H856" s="825"/>
      <c r="I856" s="825"/>
      <c r="J856" s="825"/>
      <c r="K856" s="825"/>
      <c r="L856" s="825"/>
      <c r="M856" s="825"/>
      <c r="N856" s="825"/>
      <c r="O856" s="825"/>
      <c r="P856" s="636"/>
      <c r="Q856" s="637"/>
      <c r="R856" s="619"/>
    </row>
    <row r="857" spans="1:18" s="644" customFormat="1" ht="16.350000000000001" customHeight="1" outlineLevel="1">
      <c r="A857" s="339"/>
      <c r="B857" s="638" t="s">
        <v>677</v>
      </c>
      <c r="C857" s="639"/>
      <c r="D857" s="640">
        <f>D854/E855</f>
        <v>1.2314371064451655E-2</v>
      </c>
      <c r="E857" s="640">
        <f>E854/F855</f>
        <v>3.815133362337271E-2</v>
      </c>
      <c r="F857" s="640">
        <f t="shared" ref="F857:M857" si="104">F854/G855</f>
        <v>0.10763356892205803</v>
      </c>
      <c r="G857" s="640">
        <f t="shared" si="104"/>
        <v>0.21126676245210729</v>
      </c>
      <c r="H857" s="641">
        <f t="shared" si="104"/>
        <v>0.24624165329951131</v>
      </c>
      <c r="I857" s="641">
        <f t="shared" si="104"/>
        <v>0.30139812612262729</v>
      </c>
      <c r="J857" s="641">
        <f t="shared" si="104"/>
        <v>0.45962798937112487</v>
      </c>
      <c r="K857" s="641">
        <f t="shared" si="104"/>
        <v>0.70977707778047006</v>
      </c>
      <c r="L857" s="642">
        <f t="shared" si="104"/>
        <v>1.1134297785174754</v>
      </c>
      <c r="M857" s="642">
        <f t="shared" si="104"/>
        <v>0.38578905349064135</v>
      </c>
      <c r="N857" s="642">
        <f>N854/O855</f>
        <v>3.8632441760138052</v>
      </c>
      <c r="O857" s="826"/>
      <c r="P857" s="826"/>
      <c r="Q857" s="643"/>
      <c r="R857" s="619"/>
    </row>
    <row r="858" spans="1:18" s="644" customFormat="1" ht="16.350000000000001" customHeight="1" outlineLevel="1">
      <c r="A858" s="339"/>
      <c r="B858" s="638" t="s">
        <v>678</v>
      </c>
      <c r="C858" s="639"/>
      <c r="D858" s="640">
        <f t="shared" ref="D858:N858" si="105">D855/D10</f>
        <v>0.14665896590857788</v>
      </c>
      <c r="E858" s="640">
        <f t="shared" si="105"/>
        <v>0.16170802823313535</v>
      </c>
      <c r="F858" s="640">
        <f t="shared" si="105"/>
        <v>0.17689194442416337</v>
      </c>
      <c r="G858" s="640">
        <f t="shared" si="105"/>
        <v>0.18336459947617884</v>
      </c>
      <c r="H858" s="640">
        <f t="shared" si="105"/>
        <v>0.18608381792660919</v>
      </c>
      <c r="I858" s="640">
        <f t="shared" si="105"/>
        <v>0.17803797594458354</v>
      </c>
      <c r="J858" s="640">
        <f t="shared" si="105"/>
        <v>0.16160768222935284</v>
      </c>
      <c r="K858" s="640">
        <f t="shared" si="105"/>
        <v>0.14326247614406951</v>
      </c>
      <c r="L858" s="640">
        <f t="shared" si="105"/>
        <v>0.11605899970472026</v>
      </c>
      <c r="M858" s="640">
        <f t="shared" si="105"/>
        <v>7.3697926249236934E-2</v>
      </c>
      <c r="N858" s="640">
        <f t="shared" si="105"/>
        <v>6.8445076969594676E-2</v>
      </c>
      <c r="O858" s="827"/>
      <c r="P858" s="826"/>
      <c r="Q858" s="643"/>
      <c r="R858" s="619"/>
    </row>
    <row r="859" spans="1:18" s="644" customFormat="1" ht="16.350000000000001" customHeight="1" outlineLevel="1">
      <c r="A859" s="339"/>
      <c r="B859" s="638" t="s">
        <v>679</v>
      </c>
      <c r="C859" s="639"/>
      <c r="D859" s="640">
        <f t="shared" ref="D859:N859" si="106">D854/D12</f>
        <v>1.7138498811072725E-2</v>
      </c>
      <c r="E859" s="640">
        <f t="shared" si="106"/>
        <v>4.976210223056441E-2</v>
      </c>
      <c r="F859" s="640">
        <f t="shared" si="106"/>
        <v>0.13320590259194129</v>
      </c>
      <c r="G859" s="640">
        <f t="shared" si="106"/>
        <v>0.17150216260873791</v>
      </c>
      <c r="H859" s="640">
        <f t="shared" si="106"/>
        <v>0.22791147325898561</v>
      </c>
      <c r="I859" s="640">
        <f t="shared" si="106"/>
        <v>0.2686964424824721</v>
      </c>
      <c r="J859" s="640">
        <f t="shared" si="106"/>
        <v>0.22402003108271457</v>
      </c>
      <c r="K859" s="640">
        <f t="shared" si="106"/>
        <v>0.21389974077184271</v>
      </c>
      <c r="L859" s="640">
        <f t="shared" si="106"/>
        <v>0.2399086377591976</v>
      </c>
      <c r="M859" s="640">
        <f t="shared" si="106"/>
        <v>9.1999492299881538E-2</v>
      </c>
      <c r="N859" s="640">
        <f t="shared" si="106"/>
        <v>0.26054850479199765</v>
      </c>
      <c r="O859" s="639"/>
      <c r="P859" s="639"/>
      <c r="Q859" s="643"/>
      <c r="R859" s="619"/>
    </row>
    <row r="860" spans="1:18" s="650" customFormat="1" ht="16.350000000000001" customHeight="1" outlineLevel="1">
      <c r="A860" s="339"/>
      <c r="B860" s="647"/>
      <c r="C860" s="648"/>
      <c r="D860" s="648"/>
      <c r="E860" s="648"/>
      <c r="F860" s="648"/>
      <c r="G860" s="648"/>
      <c r="H860" s="648"/>
      <c r="I860" s="648"/>
      <c r="J860" s="648"/>
      <c r="K860" s="648"/>
      <c r="L860" s="648"/>
      <c r="M860" s="648"/>
      <c r="N860" s="648"/>
      <c r="O860" s="648"/>
      <c r="P860" s="648"/>
      <c r="Q860" s="649"/>
      <c r="R860" s="619"/>
    </row>
    <row r="861" spans="1:18" s="655" customFormat="1" ht="16.350000000000001" customHeight="1" outlineLevel="1">
      <c r="A861" s="344"/>
      <c r="B861" s="651" t="s">
        <v>737</v>
      </c>
      <c r="C861" s="652"/>
      <c r="D861" s="652">
        <v>207434310000</v>
      </c>
      <c r="E861" s="652">
        <v>206214310000</v>
      </c>
      <c r="F861" s="652">
        <v>214599350000</v>
      </c>
      <c r="G861" s="652">
        <v>206403980000</v>
      </c>
      <c r="H861" s="652">
        <v>165188860000</v>
      </c>
      <c r="I861" s="652">
        <v>116853650000</v>
      </c>
      <c r="J861" s="652">
        <v>78517280000</v>
      </c>
      <c r="K861" s="652">
        <v>46982780000</v>
      </c>
      <c r="L861" s="652">
        <v>23857880000</v>
      </c>
      <c r="M861" s="652">
        <v>13078490000</v>
      </c>
      <c r="N861" s="652">
        <v>5477000000</v>
      </c>
      <c r="O861" s="652">
        <v>217000000</v>
      </c>
      <c r="P861" s="652"/>
      <c r="Q861" s="652"/>
      <c r="R861" s="573"/>
    </row>
    <row r="862" spans="1:18" s="659" customFormat="1" ht="16.350000000000001" customHeight="1" outlineLevel="1">
      <c r="A862" s="344"/>
      <c r="B862" s="656" t="s">
        <v>738</v>
      </c>
      <c r="C862" s="577"/>
      <c r="D862" s="577">
        <v>-2.1279851354072399E-3</v>
      </c>
      <c r="E862" s="577">
        <v>-8.1776352286677456E-2</v>
      </c>
      <c r="F862" s="577">
        <v>9.6318627955820801E-2</v>
      </c>
      <c r="G862" s="577">
        <v>0.41973698029828532</v>
      </c>
      <c r="H862" s="577">
        <v>0.38350167939887991</v>
      </c>
      <c r="I862" s="577">
        <v>0.53966512742386574</v>
      </c>
      <c r="J862" s="577">
        <v>0.8408065256309798</v>
      </c>
      <c r="K862" s="577">
        <v>1.0909474130797698</v>
      </c>
      <c r="L862" s="828"/>
      <c r="M862" s="828"/>
      <c r="N862" s="576"/>
      <c r="O862" s="576"/>
      <c r="P862" s="576"/>
      <c r="Q862" s="829"/>
      <c r="R862" s="573"/>
    </row>
    <row r="863" spans="1:18" s="659" customFormat="1" ht="16.350000000000001" customHeight="1" outlineLevel="1">
      <c r="A863" s="344"/>
      <c r="B863" s="656" t="s">
        <v>739</v>
      </c>
      <c r="C863" s="577"/>
      <c r="D863" s="577">
        <v>-2.4983334463562157E-2</v>
      </c>
      <c r="E863" s="577">
        <v>-3.0898410693843248E-2</v>
      </c>
      <c r="F863" s="577">
        <v>4.0606208315476344E-2</v>
      </c>
      <c r="G863" s="577">
        <v>0.28288726198520364</v>
      </c>
      <c r="H863" s="577">
        <v>0.43254970526108605</v>
      </c>
      <c r="I863" s="577">
        <v>0.55158228787697339</v>
      </c>
      <c r="J863" s="577">
        <v>0.66567098485397125</v>
      </c>
      <c r="K863" s="577">
        <v>1.1695296934394346</v>
      </c>
      <c r="L863" s="828"/>
      <c r="M863" s="828"/>
      <c r="N863" s="576"/>
      <c r="O863" s="576"/>
      <c r="P863" s="576"/>
      <c r="Q863" s="829"/>
      <c r="R863" s="573"/>
    </row>
    <row r="864" spans="1:18" s="659" customFormat="1" ht="16.350000000000001" customHeight="1" outlineLevel="1">
      <c r="A864" s="344"/>
      <c r="B864" s="656" t="s">
        <v>740</v>
      </c>
      <c r="C864" s="577"/>
      <c r="D864" s="577">
        <v>2.8328156881664679E-2</v>
      </c>
      <c r="E864" s="577">
        <v>-3.5899030427148815E-2</v>
      </c>
      <c r="F864" s="577">
        <v>5.4482731651847915E-2</v>
      </c>
      <c r="G864" s="577">
        <v>0.22334758544535149</v>
      </c>
      <c r="H864" s="577">
        <v>0.38599211246936238</v>
      </c>
      <c r="I864" s="577">
        <v>0.46688615066422368</v>
      </c>
      <c r="J864" s="577">
        <v>0.63397488410249681</v>
      </c>
      <c r="K864" s="577">
        <v>0.85590147362566737</v>
      </c>
      <c r="L864" s="576"/>
      <c r="M864" s="576"/>
      <c r="N864" s="576"/>
      <c r="O864" s="576"/>
      <c r="P864" s="576"/>
      <c r="Q864" s="829"/>
      <c r="R864" s="573"/>
    </row>
    <row r="865" spans="1:18" s="659" customFormat="1" ht="16.350000000000001" customHeight="1" outlineLevel="1">
      <c r="A865" s="344"/>
      <c r="B865" s="656" t="s">
        <v>741</v>
      </c>
      <c r="D865" s="577">
        <v>2.1464769786461835E-2</v>
      </c>
      <c r="E865" s="577">
        <v>-9.2147632562640247E-3</v>
      </c>
      <c r="F865" s="577">
        <v>-2.2237299880536798E-2</v>
      </c>
      <c r="G865" s="577">
        <v>0.12897664607784609</v>
      </c>
      <c r="H865" s="577">
        <v>0.44306275309967336</v>
      </c>
      <c r="I865" s="577">
        <v>0.42554665182210427</v>
      </c>
      <c r="J865" s="577">
        <v>0.60833902472663137</v>
      </c>
      <c r="K865" s="577">
        <v>0.88395871908531731</v>
      </c>
      <c r="L865" s="576"/>
      <c r="M865" s="576"/>
      <c r="N865" s="576"/>
      <c r="O865" s="576"/>
      <c r="P865" s="576"/>
      <c r="Q865" s="829"/>
      <c r="R865" s="573"/>
    </row>
    <row r="866" spans="1:18" s="660" customFormat="1" ht="16.350000000000001" customHeight="1" outlineLevel="1">
      <c r="A866" s="344"/>
      <c r="B866" s="656"/>
      <c r="D866" s="661"/>
      <c r="E866" s="661"/>
      <c r="F866" s="661"/>
      <c r="G866" s="661"/>
      <c r="H866" s="661"/>
      <c r="I866" s="661"/>
      <c r="J866" s="661"/>
      <c r="K866" s="661"/>
      <c r="L866" s="661"/>
      <c r="M866" s="662"/>
      <c r="N866" s="662"/>
      <c r="O866" s="661"/>
      <c r="P866" s="661"/>
      <c r="Q866" s="663"/>
      <c r="R866" s="573"/>
    </row>
    <row r="867" spans="1:18" s="832" customFormat="1" ht="16.350000000000001" customHeight="1" outlineLevel="1">
      <c r="A867" s="344"/>
      <c r="B867" s="830" t="s">
        <v>677</v>
      </c>
      <c r="C867" s="831"/>
      <c r="D867" s="831">
        <f>D861/E861-1</f>
        <v>5.9161752644614207E-3</v>
      </c>
      <c r="E867" s="831">
        <f t="shared" ref="E867:N867" si="107">E861/F861-1</f>
        <v>-3.9072998124178859E-2</v>
      </c>
      <c r="F867" s="831">
        <f t="shared" si="107"/>
        <v>3.9705484361299614E-2</v>
      </c>
      <c r="G867" s="831">
        <f t="shared" si="107"/>
        <v>0.24950302338789676</v>
      </c>
      <c r="H867" s="831">
        <f t="shared" si="107"/>
        <v>0.41363885509780829</v>
      </c>
      <c r="I867" s="831">
        <f t="shared" si="107"/>
        <v>0.48825392321282646</v>
      </c>
      <c r="J867" s="831">
        <f t="shared" si="107"/>
        <v>0.67119272209945846</v>
      </c>
      <c r="K867" s="831">
        <f t="shared" si="107"/>
        <v>0.96927723670334487</v>
      </c>
      <c r="L867" s="831">
        <f t="shared" si="107"/>
        <v>0.82420753466187602</v>
      </c>
      <c r="M867" s="831">
        <f t="shared" si="107"/>
        <v>1.3878930071206863</v>
      </c>
      <c r="N867" s="831">
        <f t="shared" si="107"/>
        <v>24.23963133640553</v>
      </c>
      <c r="O867" s="831"/>
      <c r="P867" s="577"/>
      <c r="Q867" s="577"/>
      <c r="R867" s="573"/>
    </row>
    <row r="868" spans="1:18" s="669" customFormat="1" ht="16.350000000000001" customHeight="1" outlineLevel="1">
      <c r="A868" s="344"/>
      <c r="B868" s="664" t="s">
        <v>685</v>
      </c>
      <c r="C868" s="665"/>
      <c r="D868" s="670">
        <f>D867-D857</f>
        <v>-6.3981957999902344E-3</v>
      </c>
      <c r="E868" s="670">
        <f t="shared" ref="E868:N868" si="108">E867-E857</f>
        <v>-7.7224331747551569E-2</v>
      </c>
      <c r="F868" s="670">
        <f t="shared" si="108"/>
        <v>-6.7928084560758412E-2</v>
      </c>
      <c r="G868" s="670">
        <f t="shared" si="108"/>
        <v>3.8236260935789468E-2</v>
      </c>
      <c r="H868" s="670">
        <f t="shared" si="108"/>
        <v>0.16739720179829698</v>
      </c>
      <c r="I868" s="670">
        <f t="shared" si="108"/>
        <v>0.18685579709019917</v>
      </c>
      <c r="J868" s="670">
        <f t="shared" si="108"/>
        <v>0.21156473272833359</v>
      </c>
      <c r="K868" s="670">
        <f t="shared" si="108"/>
        <v>0.25950015892287481</v>
      </c>
      <c r="L868" s="670">
        <f t="shared" si="108"/>
        <v>-0.28922224385559936</v>
      </c>
      <c r="M868" s="670">
        <f t="shared" si="108"/>
        <v>1.0021039536300449</v>
      </c>
      <c r="N868" s="670">
        <f t="shared" si="108"/>
        <v>20.376387160391726</v>
      </c>
      <c r="O868" s="670"/>
      <c r="P868" s="833"/>
      <c r="Q868" s="834"/>
      <c r="R868" s="573"/>
    </row>
    <row r="869" spans="1:18" s="669" customFormat="1" ht="16.350000000000001" customHeight="1" outlineLevel="1">
      <c r="A869" s="344"/>
      <c r="B869" s="664" t="s">
        <v>686</v>
      </c>
      <c r="C869" s="665"/>
      <c r="D869" s="670">
        <f t="shared" ref="D869:O869" si="109">D861/D3</f>
        <v>0.16768934345847117</v>
      </c>
      <c r="E869" s="670">
        <f t="shared" si="109"/>
        <v>0.18036535549307037</v>
      </c>
      <c r="F869" s="670">
        <f t="shared" si="109"/>
        <v>0.1996623028486722</v>
      </c>
      <c r="G869" s="670">
        <f t="shared" si="109"/>
        <v>0.21712716641290628</v>
      </c>
      <c r="H869" s="670">
        <f t="shared" si="109"/>
        <v>0.2163496582044723</v>
      </c>
      <c r="I869" s="670">
        <f t="shared" si="109"/>
        <v>0.20157785419805674</v>
      </c>
      <c r="J869" s="670">
        <f t="shared" si="109"/>
        <v>0.17500352777386929</v>
      </c>
      <c r="K869" s="670">
        <f t="shared" si="109"/>
        <v>0.13995468316261198</v>
      </c>
      <c r="L869" s="670">
        <f t="shared" si="109"/>
        <v>0.10100987093000635</v>
      </c>
      <c r="M869" s="670">
        <f t="shared" si="109"/>
        <v>7.6995262655099636E-2</v>
      </c>
      <c r="N869" s="670">
        <f t="shared" si="109"/>
        <v>4.1204858035458897E-2</v>
      </c>
      <c r="O869" s="670">
        <f t="shared" si="109"/>
        <v>2.3076428173022167E-3</v>
      </c>
      <c r="P869" s="835"/>
      <c r="Q869" s="835"/>
      <c r="R869" s="573"/>
    </row>
    <row r="870" spans="1:18" s="674" customFormat="1" ht="16.350000000000001" customHeight="1" outlineLevel="1">
      <c r="A870" s="344"/>
      <c r="B870" s="671" t="s">
        <v>687</v>
      </c>
      <c r="C870" s="672"/>
      <c r="D870" s="672">
        <f>(D861/AVERAGE(D855:E855))/365</f>
        <v>606.94524278548806</v>
      </c>
      <c r="E870" s="672">
        <f t="shared" ref="E870:O870" si="110">(E861/AVERAGE(E855:F855))/365</f>
        <v>618.45128740731468</v>
      </c>
      <c r="F870" s="672">
        <f>(F861/AVERAGE(F855:G855))/366</f>
        <v>687.48295102790382</v>
      </c>
      <c r="G870" s="672">
        <f t="shared" si="110"/>
        <v>765.47954106232714</v>
      </c>
      <c r="H870" s="672">
        <f t="shared" si="110"/>
        <v>751.59382077236933</v>
      </c>
      <c r="I870" s="672">
        <f t="shared" si="110"/>
        <v>675.33009809173916</v>
      </c>
      <c r="J870" s="672">
        <f>(J861/AVERAGE(J855:K855))/366</f>
        <v>618.03174000459217</v>
      </c>
      <c r="K870" s="672">
        <f t="shared" si="110"/>
        <v>575.50329826069992</v>
      </c>
      <c r="L870" s="672">
        <f t="shared" si="110"/>
        <v>537.55544878095759</v>
      </c>
      <c r="M870" s="672">
        <f t="shared" si="110"/>
        <v>532.90915712295657</v>
      </c>
      <c r="N870" s="672">
        <f>(N861/AVERAGE(N855:O855))/366</f>
        <v>440.42324698158899</v>
      </c>
      <c r="O870" s="672">
        <f t="shared" si="110"/>
        <v>51.295992057394784</v>
      </c>
      <c r="P870" s="672"/>
      <c r="Q870" s="836"/>
      <c r="R870" s="573"/>
    </row>
    <row r="871" spans="1:18" s="256" customFormat="1" ht="16.350000000000001" customHeight="1" outlineLevel="1">
      <c r="A871" s="344"/>
      <c r="B871" s="675"/>
      <c r="C871" s="676"/>
      <c r="D871" s="676"/>
      <c r="E871" s="676"/>
      <c r="F871" s="676"/>
      <c r="G871" s="676"/>
      <c r="H871" s="677"/>
      <c r="I871" s="677"/>
      <c r="J871" s="677"/>
      <c r="K871" s="677"/>
      <c r="L871" s="677"/>
      <c r="M871" s="676"/>
      <c r="N871" s="676"/>
      <c r="O871" s="676"/>
      <c r="P871" s="676"/>
      <c r="Q871" s="678"/>
      <c r="R871" s="573"/>
    </row>
    <row r="872" spans="1:18" s="635" customFormat="1" ht="16.350000000000001" customHeight="1" outlineLevel="1">
      <c r="A872" s="339"/>
      <c r="B872" s="679" t="s">
        <v>742</v>
      </c>
      <c r="C872" s="680"/>
      <c r="D872" s="680">
        <v>451</v>
      </c>
      <c r="E872" s="680">
        <v>431</v>
      </c>
      <c r="F872" s="680">
        <v>374</v>
      </c>
      <c r="G872" s="680">
        <v>287</v>
      </c>
      <c r="H872" s="680">
        <v>207</v>
      </c>
      <c r="I872" s="680">
        <v>146</v>
      </c>
      <c r="J872" s="680">
        <v>96</v>
      </c>
      <c r="K872" s="680">
        <v>51</v>
      </c>
      <c r="L872" s="680">
        <v>24</v>
      </c>
      <c r="M872" s="680">
        <v>14</v>
      </c>
      <c r="N872" s="680">
        <v>3</v>
      </c>
      <c r="O872" s="680">
        <v>0</v>
      </c>
      <c r="P872" s="680"/>
      <c r="Q872" s="680"/>
      <c r="R872" s="619"/>
    </row>
    <row r="873" spans="1:18" s="841" customFormat="1" ht="16.350000000000001" customHeight="1" outlineLevel="1">
      <c r="A873" s="837"/>
      <c r="B873" s="838" t="s">
        <v>689</v>
      </c>
      <c r="C873" s="839"/>
      <c r="D873" s="839">
        <v>1</v>
      </c>
      <c r="E873" s="839">
        <v>-5</v>
      </c>
      <c r="F873" s="839">
        <v>8</v>
      </c>
      <c r="G873" s="839">
        <v>13</v>
      </c>
      <c r="H873" s="839">
        <v>8</v>
      </c>
      <c r="I873" s="839">
        <v>7</v>
      </c>
      <c r="J873" s="839">
        <v>3</v>
      </c>
      <c r="K873" s="839">
        <v>6</v>
      </c>
      <c r="L873" s="839">
        <v>1</v>
      </c>
      <c r="M873" s="839">
        <v>0</v>
      </c>
      <c r="N873" s="839">
        <v>2</v>
      </c>
      <c r="O873" s="839">
        <v>0</v>
      </c>
      <c r="P873" s="839"/>
      <c r="Q873" s="839"/>
      <c r="R873" s="840"/>
    </row>
    <row r="874" spans="1:18" s="841" customFormat="1" ht="16.350000000000001" customHeight="1" outlineLevel="1">
      <c r="A874" s="837"/>
      <c r="B874" s="842" t="s">
        <v>690</v>
      </c>
      <c r="C874" s="843"/>
      <c r="D874" s="843">
        <v>5</v>
      </c>
      <c r="E874" s="843">
        <v>4</v>
      </c>
      <c r="F874" s="843">
        <v>16</v>
      </c>
      <c r="G874" s="843">
        <v>11</v>
      </c>
      <c r="H874" s="843">
        <v>11</v>
      </c>
      <c r="I874" s="843">
        <v>11</v>
      </c>
      <c r="J874" s="843">
        <v>5</v>
      </c>
      <c r="K874" s="843">
        <v>9</v>
      </c>
      <c r="L874" s="843">
        <v>3</v>
      </c>
      <c r="M874" s="843">
        <v>4</v>
      </c>
      <c r="N874" s="843">
        <v>4</v>
      </c>
      <c r="O874" s="843">
        <v>0</v>
      </c>
      <c r="P874" s="843"/>
      <c r="Q874" s="843"/>
      <c r="R874" s="840"/>
    </row>
    <row r="875" spans="1:18" s="841" customFormat="1" ht="16.350000000000001" customHeight="1" outlineLevel="1">
      <c r="A875" s="837"/>
      <c r="B875" s="838" t="s">
        <v>691</v>
      </c>
      <c r="D875" s="841">
        <v>0</v>
      </c>
      <c r="E875" s="841">
        <v>2</v>
      </c>
      <c r="F875" s="841">
        <v>9</v>
      </c>
      <c r="G875" s="841">
        <v>24</v>
      </c>
      <c r="H875" s="841">
        <v>17</v>
      </c>
      <c r="I875" s="841">
        <v>14</v>
      </c>
      <c r="J875" s="841">
        <v>13</v>
      </c>
      <c r="K875" s="841">
        <v>10</v>
      </c>
      <c r="L875" s="841">
        <v>7</v>
      </c>
      <c r="M875" s="841">
        <v>3</v>
      </c>
      <c r="N875" s="841">
        <v>2</v>
      </c>
      <c r="O875" s="841">
        <v>0</v>
      </c>
      <c r="R875" s="840"/>
    </row>
    <row r="876" spans="1:18" s="841" customFormat="1" ht="16.350000000000001" customHeight="1" outlineLevel="1">
      <c r="A876" s="837"/>
      <c r="B876" s="838" t="s">
        <v>692</v>
      </c>
      <c r="C876" s="844"/>
      <c r="D876" s="844">
        <v>10</v>
      </c>
      <c r="E876" s="844">
        <v>19</v>
      </c>
      <c r="F876" s="844">
        <v>24</v>
      </c>
      <c r="G876" s="844">
        <v>39</v>
      </c>
      <c r="H876" s="844">
        <v>44</v>
      </c>
      <c r="I876" s="844">
        <v>29</v>
      </c>
      <c r="J876" s="844">
        <v>29</v>
      </c>
      <c r="K876" s="844">
        <v>17</v>
      </c>
      <c r="L876" s="844">
        <v>16</v>
      </c>
      <c r="M876" s="844">
        <v>3</v>
      </c>
      <c r="N876" s="844">
        <v>3</v>
      </c>
      <c r="O876" s="844">
        <v>3</v>
      </c>
      <c r="P876" s="844"/>
      <c r="Q876" s="844"/>
      <c r="R876" s="840"/>
    </row>
    <row r="877" spans="1:18" s="635" customFormat="1" ht="16.350000000000001" customHeight="1" outlineLevel="1">
      <c r="A877" s="339"/>
      <c r="B877" s="690" t="s">
        <v>693</v>
      </c>
      <c r="C877" s="691"/>
      <c r="D877" s="691">
        <v>16</v>
      </c>
      <c r="E877" s="691">
        <v>20</v>
      </c>
      <c r="F877" s="691">
        <v>57</v>
      </c>
      <c r="G877" s="691">
        <v>87</v>
      </c>
      <c r="H877" s="691">
        <v>80</v>
      </c>
      <c r="I877" s="691">
        <v>61</v>
      </c>
      <c r="J877" s="691">
        <v>50</v>
      </c>
      <c r="K877" s="691">
        <v>42</v>
      </c>
      <c r="L877" s="691">
        <v>27</v>
      </c>
      <c r="M877" s="691">
        <v>10</v>
      </c>
      <c r="N877" s="691">
        <v>11</v>
      </c>
      <c r="O877" s="691">
        <v>3</v>
      </c>
      <c r="P877" s="691"/>
      <c r="Q877" s="691"/>
      <c r="R877" s="619"/>
    </row>
    <row r="878" spans="1:18" s="635" customFormat="1" ht="16.350000000000001" customHeight="1" outlineLevel="1">
      <c r="A878" s="339"/>
      <c r="B878" s="632" t="s">
        <v>743</v>
      </c>
      <c r="C878" s="633"/>
      <c r="D878" s="633">
        <v>467</v>
      </c>
      <c r="E878" s="633">
        <v>451</v>
      </c>
      <c r="F878" s="633">
        <v>431</v>
      </c>
      <c r="G878" s="633">
        <v>374</v>
      </c>
      <c r="H878" s="633">
        <v>287</v>
      </c>
      <c r="I878" s="633">
        <v>207</v>
      </c>
      <c r="J878" s="633">
        <v>146</v>
      </c>
      <c r="K878" s="633">
        <v>93</v>
      </c>
      <c r="L878" s="633">
        <v>51</v>
      </c>
      <c r="M878" s="633">
        <v>24</v>
      </c>
      <c r="N878" s="633">
        <v>14</v>
      </c>
      <c r="O878" s="633">
        <v>3</v>
      </c>
      <c r="P878" s="633"/>
      <c r="Q878" s="633"/>
      <c r="R878" s="619"/>
    </row>
    <row r="879" spans="1:18" s="635" customFormat="1" ht="16.350000000000001" customHeight="1" outlineLevel="1">
      <c r="A879" s="339"/>
      <c r="B879" s="632"/>
      <c r="C879" s="636"/>
      <c r="D879" s="636"/>
      <c r="E879" s="636"/>
      <c r="F879" s="636"/>
      <c r="G879" s="636"/>
      <c r="H879" s="636"/>
      <c r="I879" s="636"/>
      <c r="J879" s="636"/>
      <c r="K879" s="636"/>
      <c r="L879" s="636"/>
      <c r="M879" s="636"/>
      <c r="N879" s="636"/>
      <c r="O879" s="636"/>
      <c r="P879" s="636"/>
      <c r="Q879" s="710"/>
      <c r="R879" s="619"/>
    </row>
    <row r="880" spans="1:18" s="699" customFormat="1" ht="16.350000000000001" customHeight="1" outlineLevel="1">
      <c r="A880" s="339"/>
      <c r="B880" s="697" t="s">
        <v>695</v>
      </c>
      <c r="C880" s="694"/>
      <c r="D880" s="694">
        <v>23</v>
      </c>
      <c r="E880" s="694">
        <v>42</v>
      </c>
      <c r="F880" s="694">
        <v>66</v>
      </c>
      <c r="G880" s="694">
        <v>88</v>
      </c>
      <c r="H880" s="694">
        <v>80</v>
      </c>
      <c r="I880" s="694">
        <v>61</v>
      </c>
      <c r="J880" s="694">
        <v>53</v>
      </c>
      <c r="K880" s="694">
        <v>44</v>
      </c>
      <c r="L880" s="694">
        <v>28</v>
      </c>
      <c r="M880" s="694">
        <v>10</v>
      </c>
      <c r="N880" s="694">
        <v>11</v>
      </c>
      <c r="O880" s="694">
        <v>3</v>
      </c>
      <c r="P880" s="694"/>
      <c r="Q880" s="694"/>
      <c r="R880" s="619"/>
    </row>
    <row r="881" spans="1:18" s="699" customFormat="1" ht="16.350000000000001" customHeight="1" outlineLevel="1">
      <c r="A881" s="339"/>
      <c r="B881" s="697" t="s">
        <v>696</v>
      </c>
      <c r="C881" s="694"/>
      <c r="D881" s="694">
        <v>-7</v>
      </c>
      <c r="E881" s="694">
        <v>-22</v>
      </c>
      <c r="F881" s="694">
        <v>-9</v>
      </c>
      <c r="G881" s="694">
        <v>-1</v>
      </c>
      <c r="H881" s="694">
        <v>0</v>
      </c>
      <c r="I881" s="694">
        <v>0</v>
      </c>
      <c r="J881" s="694">
        <v>-3</v>
      </c>
      <c r="K881" s="694">
        <v>0</v>
      </c>
      <c r="L881" s="694">
        <v>0</v>
      </c>
      <c r="M881" s="694">
        <v>0</v>
      </c>
      <c r="N881" s="694">
        <v>0</v>
      </c>
      <c r="O881" s="694">
        <v>0</v>
      </c>
      <c r="P881" s="694"/>
      <c r="Q881" s="694"/>
      <c r="R881" s="619"/>
    </row>
    <row r="882" spans="1:18" s="703" customFormat="1" ht="16.350000000000001" customHeight="1" outlineLevel="1">
      <c r="A882" s="339"/>
      <c r="B882" s="700" t="s">
        <v>697</v>
      </c>
      <c r="C882" s="701"/>
      <c r="D882" s="701">
        <v>2017.3190578158458</v>
      </c>
      <c r="E882" s="701">
        <v>2063.3015521064303</v>
      </c>
      <c r="F882" s="701">
        <v>2080.1925754060326</v>
      </c>
      <c r="G882" s="701">
        <v>2163.7219251336896</v>
      </c>
      <c r="H882" s="701">
        <v>2328.2160278745646</v>
      </c>
      <c r="I882" s="701">
        <v>2589.8888888888887</v>
      </c>
      <c r="J882" s="701">
        <v>2821.4794520547944</v>
      </c>
      <c r="K882" s="701">
        <v>3048.5</v>
      </c>
      <c r="L882" s="701">
        <v>3237.3076923076924</v>
      </c>
      <c r="M882" s="701">
        <v>3254.4583333333335</v>
      </c>
      <c r="N882" s="701">
        <v>4026.0714285714284</v>
      </c>
      <c r="O882" s="701">
        <v>3863.3333333333335</v>
      </c>
      <c r="P882" s="701"/>
      <c r="Q882" s="701"/>
      <c r="R882" s="619"/>
    </row>
    <row r="883" spans="1:18" s="847" customFormat="1" ht="16.350000000000001" customHeight="1" outlineLevel="1">
      <c r="A883" s="339"/>
      <c r="B883" s="845" t="s">
        <v>744</v>
      </c>
      <c r="C883" s="846"/>
      <c r="D883" s="846">
        <v>4306.1927194860809</v>
      </c>
      <c r="E883" s="846">
        <v>4415.9201773835921</v>
      </c>
      <c r="F883" s="846">
        <v>4488.2482598607885</v>
      </c>
      <c r="G883" s="846">
        <v>4769.090909090909</v>
      </c>
      <c r="H883" s="846">
        <v>5306.480836236934</v>
      </c>
      <c r="I883" s="846">
        <v>6045.7777777777774</v>
      </c>
      <c r="J883" s="846">
        <v>6645.6575342465758</v>
      </c>
      <c r="K883" s="846">
        <v>7233</v>
      </c>
      <c r="L883" s="846">
        <v>7567.6153846153848</v>
      </c>
      <c r="M883" s="846">
        <v>8123</v>
      </c>
      <c r="N883" s="846">
        <v>10378</v>
      </c>
      <c r="O883" s="846">
        <v>9734</v>
      </c>
      <c r="P883" s="846"/>
      <c r="Q883" s="846"/>
      <c r="R883" s="619"/>
    </row>
    <row r="884" spans="1:18" s="705" customFormat="1" ht="16.350000000000001" customHeight="1" outlineLevel="1">
      <c r="A884" s="339"/>
      <c r="B884" s="638" t="s">
        <v>699</v>
      </c>
      <c r="C884" s="639"/>
      <c r="D884" s="639">
        <f>D882/D883</f>
        <v>0.46846929276695287</v>
      </c>
      <c r="E884" s="639">
        <f t="shared" ref="E884:O884" si="111">E882/E883</f>
        <v>0.46724158708161362</v>
      </c>
      <c r="F884" s="639">
        <f t="shared" si="111"/>
        <v>0.46347538170059999</v>
      </c>
      <c r="G884" s="639">
        <f t="shared" si="111"/>
        <v>0.45369693435895131</v>
      </c>
      <c r="H884" s="639">
        <f t="shared" si="111"/>
        <v>0.43874954036875558</v>
      </c>
      <c r="I884" s="639">
        <f t="shared" si="111"/>
        <v>0.42837976916856574</v>
      </c>
      <c r="J884" s="639">
        <f t="shared" si="111"/>
        <v>0.42455986296541354</v>
      </c>
      <c r="K884" s="639">
        <f t="shared" si="111"/>
        <v>0.42147103553159132</v>
      </c>
      <c r="L884" s="639">
        <f t="shared" si="111"/>
        <v>0.42778438487888676</v>
      </c>
      <c r="M884" s="639">
        <f t="shared" si="111"/>
        <v>0.40064733883212278</v>
      </c>
      <c r="N884" s="639">
        <f t="shared" si="111"/>
        <v>0.38794290119208213</v>
      </c>
      <c r="O884" s="639">
        <f t="shared" si="111"/>
        <v>0.39689062392986785</v>
      </c>
      <c r="P884" s="639"/>
      <c r="Q884" s="639"/>
      <c r="R884" s="619"/>
    </row>
    <row r="885" spans="1:18" s="709" customFormat="1" ht="16.350000000000001" customHeight="1" outlineLevel="1">
      <c r="A885" s="339"/>
      <c r="B885" s="706" t="s">
        <v>700</v>
      </c>
      <c r="C885" s="707"/>
      <c r="D885" s="707">
        <v>0.45182012847965736</v>
      </c>
      <c r="E885" s="707">
        <v>0.43680709534368067</v>
      </c>
      <c r="F885" s="707">
        <v>0.43387470997679811</v>
      </c>
      <c r="G885" s="707">
        <v>0.40843461351482746</v>
      </c>
      <c r="H885" s="707">
        <v>0.3303537223853914</v>
      </c>
      <c r="I885" s="707">
        <v>0.26015387368044374</v>
      </c>
      <c r="J885" s="707">
        <v>0.23287671232876717</v>
      </c>
      <c r="K885" s="707">
        <v>0.22287087912087911</v>
      </c>
      <c r="L885" s="707">
        <v>7.6923076923076872E-2</v>
      </c>
      <c r="M885" s="707">
        <v>4.166666666666663E-2</v>
      </c>
      <c r="N885" s="707">
        <v>0</v>
      </c>
      <c r="O885" s="707">
        <v>0</v>
      </c>
      <c r="P885" s="707"/>
      <c r="Q885" s="707"/>
      <c r="R885" s="619"/>
    </row>
    <row r="886" spans="1:18" s="709" customFormat="1" ht="16.350000000000001" customHeight="1" outlineLevel="1">
      <c r="A886" s="339"/>
      <c r="B886" s="706" t="s">
        <v>701</v>
      </c>
      <c r="C886" s="707"/>
      <c r="D886" s="707">
        <v>0.54817987152034264</v>
      </c>
      <c r="E886" s="707">
        <v>0.56319290465631933</v>
      </c>
      <c r="F886" s="707">
        <v>0.56612529002320189</v>
      </c>
      <c r="G886" s="707">
        <v>0.59156538648517254</v>
      </c>
      <c r="H886" s="707">
        <v>0.6696462776146086</v>
      </c>
      <c r="I886" s="707">
        <v>0.73984612631955626</v>
      </c>
      <c r="J886" s="707">
        <v>0.76712328767123283</v>
      </c>
      <c r="K886" s="707">
        <v>0.77712912087912089</v>
      </c>
      <c r="L886" s="707">
        <v>0.92307692307692313</v>
      </c>
      <c r="M886" s="707">
        <v>0.95833333333333337</v>
      </c>
      <c r="N886" s="707">
        <v>1</v>
      </c>
      <c r="O886" s="707">
        <v>1</v>
      </c>
      <c r="P886" s="707"/>
      <c r="Q886" s="707"/>
      <c r="R886" s="619"/>
    </row>
    <row r="887" spans="1:18" s="851" customFormat="1" ht="16.350000000000001" customHeight="1" outlineLevel="1">
      <c r="A887" s="339"/>
      <c r="B887" s="848" t="s">
        <v>745</v>
      </c>
      <c r="C887" s="849"/>
      <c r="D887" s="849"/>
      <c r="E887" s="849">
        <f>E826/E878</f>
        <v>0.85587583148558755</v>
      </c>
      <c r="F887" s="849">
        <f t="shared" ref="F887:L887" si="112">F826/F878</f>
        <v>0.79814385150812062</v>
      </c>
      <c r="G887" s="849">
        <f t="shared" si="112"/>
        <v>0.68181818181818177</v>
      </c>
      <c r="H887" s="849">
        <f t="shared" si="112"/>
        <v>0.64459930313588854</v>
      </c>
      <c r="I887" s="849">
        <f t="shared" si="112"/>
        <v>0.62318840579710144</v>
      </c>
      <c r="J887" s="849">
        <f t="shared" si="112"/>
        <v>0.17123287671232876</v>
      </c>
      <c r="K887" s="849">
        <f t="shared" si="112"/>
        <v>0.15053763440860216</v>
      </c>
      <c r="L887" s="849">
        <f t="shared" si="112"/>
        <v>0.13725490196078433</v>
      </c>
      <c r="M887" s="849"/>
      <c r="N887" s="849"/>
      <c r="O887" s="849"/>
      <c r="P887" s="849"/>
      <c r="Q887" s="850"/>
      <c r="R887" s="619"/>
    </row>
    <row r="888" spans="1:18" s="851" customFormat="1" ht="16.350000000000001" customHeight="1" outlineLevel="1">
      <c r="A888" s="339"/>
      <c r="B888" s="848" t="s">
        <v>746</v>
      </c>
      <c r="C888" s="849"/>
      <c r="D888" s="849"/>
      <c r="E888" s="849">
        <f t="shared" ref="E888:L888" si="113">1-E887</f>
        <v>0.14412416851441245</v>
      </c>
      <c r="F888" s="849">
        <f t="shared" si="113"/>
        <v>0.20185614849187938</v>
      </c>
      <c r="G888" s="849">
        <f t="shared" si="113"/>
        <v>0.31818181818181823</v>
      </c>
      <c r="H888" s="849">
        <f t="shared" si="113"/>
        <v>0.35540069686411146</v>
      </c>
      <c r="I888" s="849">
        <f t="shared" si="113"/>
        <v>0.37681159420289856</v>
      </c>
      <c r="J888" s="849">
        <f t="shared" si="113"/>
        <v>0.82876712328767121</v>
      </c>
      <c r="K888" s="849">
        <f t="shared" si="113"/>
        <v>0.84946236559139787</v>
      </c>
      <c r="L888" s="849">
        <f t="shared" si="113"/>
        <v>0.86274509803921573</v>
      </c>
      <c r="M888" s="849"/>
      <c r="N888" s="849"/>
      <c r="O888" s="849"/>
      <c r="P888" s="849"/>
      <c r="Q888" s="850"/>
      <c r="R888" s="619"/>
    </row>
    <row r="889" spans="1:18" s="635" customFormat="1" ht="16.350000000000001" customHeight="1" outlineLevel="1">
      <c r="A889" s="339"/>
      <c r="B889" s="632"/>
      <c r="C889" s="636"/>
      <c r="D889" s="636"/>
      <c r="E889" s="636"/>
      <c r="F889" s="636"/>
      <c r="G889" s="636"/>
      <c r="H889" s="636"/>
      <c r="I889" s="636"/>
      <c r="J889" s="636"/>
      <c r="K889" s="636"/>
      <c r="L889" s="636"/>
      <c r="M889" s="636"/>
      <c r="N889" s="636"/>
      <c r="O889" s="636"/>
      <c r="P889" s="636"/>
      <c r="Q889" s="710"/>
      <c r="R889" s="619"/>
    </row>
    <row r="890" spans="1:18" s="854" customFormat="1" ht="16.350000000000001" customHeight="1" outlineLevel="1">
      <c r="A890" s="344"/>
      <c r="B890" s="751" t="s">
        <v>747</v>
      </c>
      <c r="C890" s="852"/>
      <c r="D890" s="748">
        <v>6.4239828693790149E-3</v>
      </c>
      <c r="E890" s="748">
        <v>6.6518847006651885E-3</v>
      </c>
      <c r="F890" s="748">
        <v>9.2807424593967514E-3</v>
      </c>
      <c r="G890" s="748">
        <v>1.3368983957219251E-2</v>
      </c>
      <c r="H890" s="748">
        <v>1.7421602787456445E-2</v>
      </c>
      <c r="I890" s="748">
        <v>4.830917874396135E-3</v>
      </c>
      <c r="J890" s="748"/>
      <c r="K890" s="748"/>
      <c r="L890" s="852"/>
      <c r="M890" s="852"/>
      <c r="N890" s="852"/>
      <c r="O890" s="852"/>
      <c r="P890" s="852"/>
      <c r="Q890" s="853"/>
      <c r="R890" s="573"/>
    </row>
    <row r="891" spans="1:18" s="854" customFormat="1" ht="16.350000000000001" customHeight="1" outlineLevel="1">
      <c r="A891" s="344"/>
      <c r="B891" s="751" t="s">
        <v>748</v>
      </c>
      <c r="C891" s="852"/>
      <c r="D891" s="748"/>
      <c r="E891" s="748"/>
      <c r="F891" s="748"/>
      <c r="G891" s="748"/>
      <c r="H891" s="748"/>
      <c r="I891" s="748"/>
      <c r="J891" s="748"/>
      <c r="K891" s="748"/>
      <c r="L891" s="852"/>
      <c r="M891" s="852"/>
      <c r="N891" s="852"/>
      <c r="O891" s="852"/>
      <c r="P891" s="852"/>
      <c r="Q891" s="853"/>
      <c r="R891" s="573"/>
    </row>
    <row r="892" spans="1:18" s="854" customFormat="1" ht="16.350000000000001" customHeight="1" outlineLevel="1">
      <c r="A892" s="344"/>
      <c r="B892" s="751" t="s">
        <v>749</v>
      </c>
      <c r="C892" s="852"/>
      <c r="D892" s="748">
        <v>0.12633832976445397</v>
      </c>
      <c r="E892" s="748">
        <v>0.1130820399113082</v>
      </c>
      <c r="F892" s="748">
        <v>0.12993039443155452</v>
      </c>
      <c r="G892" s="748">
        <v>0.12566844919786097</v>
      </c>
      <c r="H892" s="748">
        <v>0.12195121951219512</v>
      </c>
      <c r="I892" s="748">
        <v>0.10144927536231885</v>
      </c>
      <c r="J892" s="748">
        <v>0.11643835616438356</v>
      </c>
      <c r="K892" s="748">
        <v>8.6021505376344093E-2</v>
      </c>
      <c r="L892" s="852">
        <v>3.9215686274509803E-2</v>
      </c>
      <c r="M892" s="852">
        <v>4.1666666666666664E-2</v>
      </c>
      <c r="N892" s="852"/>
      <c r="O892" s="852"/>
      <c r="P892" s="852"/>
      <c r="Q892" s="853"/>
      <c r="R892" s="573"/>
    </row>
    <row r="893" spans="1:18" s="854" customFormat="1" ht="16.350000000000001" customHeight="1" outlineLevel="1">
      <c r="A893" s="344"/>
      <c r="B893" s="751" t="s">
        <v>750</v>
      </c>
      <c r="C893" s="852"/>
      <c r="D893" s="748">
        <v>0.13062098501070663</v>
      </c>
      <c r="E893" s="748">
        <v>0.1352549889135255</v>
      </c>
      <c r="F893" s="748">
        <v>0.12993039443155452</v>
      </c>
      <c r="G893" s="748">
        <v>0.12834224598930483</v>
      </c>
      <c r="H893" s="748">
        <v>0.1289198606271777</v>
      </c>
      <c r="I893" s="748">
        <v>0.14009661835748793</v>
      </c>
      <c r="J893" s="748">
        <v>0.15068493150684931</v>
      </c>
      <c r="K893" s="748">
        <v>0.12903225806451613</v>
      </c>
      <c r="L893" s="852">
        <v>0.13725490196078433</v>
      </c>
      <c r="M893" s="852">
        <v>0.25</v>
      </c>
      <c r="N893" s="852"/>
      <c r="O893" s="852"/>
      <c r="P893" s="852"/>
      <c r="Q893" s="853"/>
      <c r="R893" s="573"/>
    </row>
    <row r="894" spans="1:18" s="854" customFormat="1" ht="16.350000000000001" customHeight="1" outlineLevel="1">
      <c r="A894" s="344"/>
      <c r="B894" s="751" t="s">
        <v>751</v>
      </c>
      <c r="C894" s="852"/>
      <c r="D894" s="748">
        <v>0.16488222698072805</v>
      </c>
      <c r="E894" s="748">
        <v>0.17516629711751663</v>
      </c>
      <c r="F894" s="748">
        <v>0.1716937354988399</v>
      </c>
      <c r="G894" s="748">
        <v>0.17112299465240641</v>
      </c>
      <c r="H894" s="748">
        <v>0.17770034843205576</v>
      </c>
      <c r="I894" s="748">
        <v>0.19323671497584541</v>
      </c>
      <c r="J894" s="748">
        <v>0.19863013698630136</v>
      </c>
      <c r="K894" s="748">
        <v>0.17204301075268819</v>
      </c>
      <c r="L894" s="852">
        <v>0.17647058823529413</v>
      </c>
      <c r="M894" s="852">
        <v>0.125</v>
      </c>
      <c r="N894" s="852"/>
      <c r="O894" s="852"/>
      <c r="P894" s="852"/>
      <c r="Q894" s="853"/>
      <c r="R894" s="573"/>
    </row>
    <row r="895" spans="1:18" s="854" customFormat="1" ht="16.350000000000001" customHeight="1" outlineLevel="1">
      <c r="A895" s="344"/>
      <c r="B895" s="751" t="s">
        <v>752</v>
      </c>
      <c r="C895" s="852"/>
      <c r="D895" s="748">
        <v>0.14989293361884368</v>
      </c>
      <c r="E895" s="748">
        <v>0.15077605321507762</v>
      </c>
      <c r="F895" s="748">
        <v>0.1531322505800464</v>
      </c>
      <c r="G895" s="748">
        <v>0.16577540106951871</v>
      </c>
      <c r="H895" s="748">
        <v>0.18815331010452963</v>
      </c>
      <c r="I895" s="748">
        <v>0.20772946859903382</v>
      </c>
      <c r="J895" s="748">
        <v>0.20547945205479451</v>
      </c>
      <c r="K895" s="748">
        <v>0.25806451612903225</v>
      </c>
      <c r="L895" s="852">
        <v>0.21568627450980393</v>
      </c>
      <c r="M895" s="852">
        <v>0.16666666666666666</v>
      </c>
      <c r="N895" s="852"/>
      <c r="O895" s="852"/>
      <c r="P895" s="852"/>
      <c r="Q895" s="853"/>
      <c r="R895" s="573"/>
    </row>
    <row r="896" spans="1:18" s="854" customFormat="1" ht="16.350000000000001" customHeight="1" outlineLevel="1">
      <c r="A896" s="344"/>
      <c r="B896" s="751" t="s">
        <v>753</v>
      </c>
      <c r="C896" s="852"/>
      <c r="D896" s="748">
        <v>0.23340471092077089</v>
      </c>
      <c r="E896" s="748">
        <v>0.22616407982261641</v>
      </c>
      <c r="F896" s="748">
        <v>0.22737819025522041</v>
      </c>
      <c r="G896" s="748">
        <v>0.24331550802139038</v>
      </c>
      <c r="H896" s="748">
        <v>0.24041811846689895</v>
      </c>
      <c r="I896" s="748">
        <v>0.24154589371980675</v>
      </c>
      <c r="J896" s="748">
        <v>0.23287671232876711</v>
      </c>
      <c r="K896" s="748">
        <v>0.25806451612903225</v>
      </c>
      <c r="L896" s="852">
        <v>0.31372549019607843</v>
      </c>
      <c r="M896" s="852">
        <v>0.29166666666666669</v>
      </c>
      <c r="N896" s="852"/>
      <c r="O896" s="852"/>
      <c r="P896" s="852"/>
      <c r="Q896" s="853"/>
      <c r="R896" s="573"/>
    </row>
    <row r="897" spans="1:18" s="854" customFormat="1" ht="16.350000000000001" customHeight="1" outlineLevel="1">
      <c r="A897" s="344"/>
      <c r="B897" s="751" t="s">
        <v>754</v>
      </c>
      <c r="C897" s="852"/>
      <c r="D897" s="748">
        <v>0.19486081370449679</v>
      </c>
      <c r="E897" s="748">
        <v>0.19955654101995565</v>
      </c>
      <c r="F897" s="748">
        <v>0.18793503480278423</v>
      </c>
      <c r="G897" s="748">
        <v>0.16577540106951871</v>
      </c>
      <c r="H897" s="748">
        <v>0.14285714285714285</v>
      </c>
      <c r="I897" s="748">
        <v>0.11594202898550725</v>
      </c>
      <c r="J897" s="748">
        <v>9.5890410958904104E-2</v>
      </c>
      <c r="K897" s="748">
        <v>9.6774193548387094E-2</v>
      </c>
      <c r="L897" s="852">
        <v>0.11764705882352941</v>
      </c>
      <c r="M897" s="852">
        <v>0.125</v>
      </c>
      <c r="N897" s="852"/>
      <c r="O897" s="852"/>
      <c r="P897" s="852"/>
      <c r="Q897" s="853"/>
      <c r="R897" s="573"/>
    </row>
    <row r="898" spans="1:18" s="256" customFormat="1" ht="16.350000000000001" customHeight="1" outlineLevel="1">
      <c r="A898" s="741"/>
      <c r="B898" s="752"/>
      <c r="C898" s="731"/>
      <c r="D898" s="731"/>
      <c r="E898" s="731"/>
      <c r="F898" s="731"/>
      <c r="G898" s="731"/>
      <c r="H898" s="731"/>
      <c r="I898" s="731"/>
      <c r="J898" s="731"/>
      <c r="K898" s="731"/>
      <c r="L898" s="731"/>
      <c r="M898" s="732"/>
      <c r="N898" s="732"/>
      <c r="O898" s="732"/>
      <c r="P898" s="732"/>
      <c r="Q898" s="733"/>
      <c r="R898" s="745"/>
    </row>
    <row r="899" spans="1:18" s="857" customFormat="1" ht="16.350000000000001" customHeight="1" outlineLevel="1">
      <c r="A899" s="339"/>
      <c r="B899" s="855" t="s">
        <v>755</v>
      </c>
      <c r="C899" s="856"/>
      <c r="D899" s="856">
        <v>395271000</v>
      </c>
      <c r="E899" s="856">
        <v>383280000</v>
      </c>
      <c r="F899" s="856">
        <v>389100000</v>
      </c>
      <c r="G899" s="856">
        <v>363350000</v>
      </c>
      <c r="H899" s="856">
        <v>298520000</v>
      </c>
      <c r="I899" s="856">
        <v>222660000</v>
      </c>
      <c r="J899" s="856">
        <v>146560000</v>
      </c>
      <c r="K899" s="856">
        <v>90170000</v>
      </c>
      <c r="L899" s="856">
        <v>45240000</v>
      </c>
      <c r="M899" s="856">
        <v>25140000</v>
      </c>
      <c r="N899" s="856">
        <v>10000000</v>
      </c>
      <c r="O899" s="856"/>
      <c r="P899" s="856"/>
      <c r="Q899" s="856"/>
      <c r="R899" s="619"/>
    </row>
    <row r="900" spans="1:18" s="757" customFormat="1" ht="16.350000000000001" customHeight="1" outlineLevel="1">
      <c r="A900" s="339"/>
      <c r="B900" s="754" t="s">
        <v>738</v>
      </c>
      <c r="C900" s="622"/>
      <c r="D900" s="755">
        <v>1.8302983578145637E-2</v>
      </c>
      <c r="E900" s="755">
        <v>-4.869422013170055E-2</v>
      </c>
      <c r="F900" s="755">
        <v>0.16086773483394867</v>
      </c>
      <c r="G900" s="755">
        <v>0.26763733682094215</v>
      </c>
      <c r="H900" s="755">
        <v>0.35420946521179419</v>
      </c>
      <c r="I900" s="755">
        <v>0.57649165435700533</v>
      </c>
      <c r="J900" s="755">
        <v>0.80932161690028548</v>
      </c>
      <c r="K900" s="755">
        <v>1.0445829257577115</v>
      </c>
      <c r="L900" s="755">
        <v>0.74391472806246162</v>
      </c>
      <c r="M900" s="755">
        <v>4.4070682212450079</v>
      </c>
      <c r="N900" s="858"/>
      <c r="O900" s="858"/>
      <c r="P900" s="858"/>
      <c r="Q900" s="858"/>
      <c r="R900" s="619"/>
    </row>
    <row r="901" spans="1:18" s="757" customFormat="1" ht="16.350000000000001" customHeight="1" outlineLevel="1">
      <c r="A901" s="339"/>
      <c r="B901" s="754" t="s">
        <v>739</v>
      </c>
      <c r="C901" s="622"/>
      <c r="D901" s="755">
        <v>3.115093201184993E-2</v>
      </c>
      <c r="E901" s="755">
        <v>-1.5495854093298345E-2</v>
      </c>
      <c r="F901" s="755">
        <v>7.9348105207775799E-2</v>
      </c>
      <c r="G901" s="755">
        <v>0.23832357892537015</v>
      </c>
      <c r="H901" s="755">
        <v>0.35812404500602057</v>
      </c>
      <c r="I901" s="755">
        <v>0.57878546748130555</v>
      </c>
      <c r="J901" s="755">
        <v>0.60816172691675341</v>
      </c>
      <c r="K901" s="755">
        <v>1.1412058832656471</v>
      </c>
      <c r="L901" s="755">
        <v>0.85852692194205171</v>
      </c>
      <c r="M901" s="755">
        <v>1.7535833338029314</v>
      </c>
      <c r="N901" s="858"/>
      <c r="O901" s="858"/>
      <c r="P901" s="858"/>
      <c r="Q901" s="858"/>
      <c r="R901" s="619"/>
    </row>
    <row r="902" spans="1:18" s="757" customFormat="1" ht="16.350000000000001" customHeight="1" outlineLevel="1">
      <c r="A902" s="339"/>
      <c r="B902" s="754" t="s">
        <v>740</v>
      </c>
      <c r="C902" s="622"/>
      <c r="D902" s="755">
        <v>5.6293755313530758E-2</v>
      </c>
      <c r="E902" s="755">
        <v>-1.8774750875436674E-2</v>
      </c>
      <c r="F902" s="755">
        <v>7.0727812062728823E-2</v>
      </c>
      <c r="G902" s="755">
        <v>0.2143521109286497</v>
      </c>
      <c r="H902" s="755">
        <v>0.3186293104187321</v>
      </c>
      <c r="I902" s="755">
        <v>0.51267891009649036</v>
      </c>
      <c r="J902" s="755">
        <v>0.55946991676265911</v>
      </c>
      <c r="K902" s="755">
        <v>0.92219742766477708</v>
      </c>
      <c r="L902" s="755">
        <v>0.7734685848841083</v>
      </c>
      <c r="M902" s="755">
        <v>1.1812505764676984</v>
      </c>
      <c r="N902" s="858"/>
      <c r="O902" s="858"/>
      <c r="P902" s="858"/>
      <c r="Q902" s="858"/>
      <c r="R902" s="619"/>
    </row>
    <row r="903" spans="1:18" s="757" customFormat="1" ht="16.350000000000001" customHeight="1" outlineLevel="1">
      <c r="A903" s="339"/>
      <c r="B903" s="754" t="s">
        <v>741</v>
      </c>
      <c r="C903" s="622"/>
      <c r="D903" s="755">
        <v>1.878150817964408E-2</v>
      </c>
      <c r="E903" s="755">
        <v>2.2620796730673742E-2</v>
      </c>
      <c r="F903" s="755">
        <v>-1.2181002756152082E-2</v>
      </c>
      <c r="G903" s="755">
        <v>0.16233954456756772</v>
      </c>
      <c r="H903" s="755">
        <v>0.33573605591820366</v>
      </c>
      <c r="I903" s="755">
        <v>0.43857553685533079</v>
      </c>
      <c r="J903" s="755">
        <v>0.58575709590478131</v>
      </c>
      <c r="K903" s="755">
        <v>0.92410249402384714</v>
      </c>
      <c r="L903" s="755">
        <v>0.81571978477669171</v>
      </c>
      <c r="M903" s="755">
        <v>0.8562481557410242</v>
      </c>
      <c r="N903" s="858"/>
      <c r="O903" s="858"/>
      <c r="P903" s="858"/>
      <c r="Q903" s="858"/>
      <c r="R903" s="619"/>
    </row>
    <row r="904" spans="1:18" s="757" customFormat="1" ht="16.350000000000001" customHeight="1" outlineLevel="1">
      <c r="A904" s="339"/>
      <c r="B904" s="754"/>
      <c r="C904" s="622"/>
      <c r="D904" s="622"/>
      <c r="E904" s="622"/>
      <c r="F904" s="622"/>
      <c r="G904" s="622"/>
      <c r="H904" s="622"/>
      <c r="I904" s="622"/>
      <c r="J904" s="622"/>
      <c r="K904" s="622"/>
      <c r="L904" s="756"/>
      <c r="M904" s="859"/>
      <c r="N904" s="859"/>
      <c r="O904" s="623"/>
      <c r="P904" s="623"/>
      <c r="Q904" s="759"/>
      <c r="R904" s="619"/>
    </row>
    <row r="905" spans="1:18" s="768" customFormat="1" ht="16.350000000000001" customHeight="1" outlineLevel="1">
      <c r="A905" s="696"/>
      <c r="B905" s="706" t="s">
        <v>677</v>
      </c>
      <c r="C905" s="765"/>
      <c r="D905" s="766">
        <f>D899/E899-1</f>
        <v>3.1285222291797199E-2</v>
      </c>
      <c r="E905" s="766">
        <f t="shared" ref="E905:M905" si="114">E899/F899-1</f>
        <v>-1.4957594448727796E-2</v>
      </c>
      <c r="F905" s="766">
        <f t="shared" si="114"/>
        <v>7.0868308793174517E-2</v>
      </c>
      <c r="G905" s="766">
        <f t="shared" si="114"/>
        <v>0.21717137880209036</v>
      </c>
      <c r="H905" s="766">
        <f t="shared" si="114"/>
        <v>0.34069882331806345</v>
      </c>
      <c r="I905" s="766">
        <f t="shared" si="114"/>
        <v>0.51924126637554591</v>
      </c>
      <c r="J905" s="766">
        <f t="shared" si="114"/>
        <v>0.62537429300210712</v>
      </c>
      <c r="K905" s="766">
        <f t="shared" si="114"/>
        <v>0.99314765694076046</v>
      </c>
      <c r="L905" s="766">
        <f t="shared" si="114"/>
        <v>0.79952267303102631</v>
      </c>
      <c r="M905" s="766">
        <f t="shared" si="114"/>
        <v>1.5139999999999998</v>
      </c>
      <c r="N905" s="766"/>
      <c r="O905" s="766"/>
      <c r="P905" s="766"/>
      <c r="Q905" s="766"/>
      <c r="R905" s="860"/>
    </row>
    <row r="906" spans="1:18" s="768" customFormat="1" ht="16.350000000000001" customHeight="1" outlineLevel="1">
      <c r="A906" s="339"/>
      <c r="B906" s="706" t="s">
        <v>721</v>
      </c>
      <c r="C906" s="765"/>
      <c r="D906" s="766">
        <f t="shared" ref="D906:N906" si="115">D899/D1085</f>
        <v>9.0452147463607108E-2</v>
      </c>
      <c r="E906" s="766">
        <f t="shared" si="115"/>
        <v>9.485954708575671E-2</v>
      </c>
      <c r="F906" s="766">
        <f t="shared" si="115"/>
        <v>0.10193522358421117</v>
      </c>
      <c r="G906" s="766">
        <f t="shared" si="115"/>
        <v>0.10759995972589921</v>
      </c>
      <c r="H906" s="766">
        <f t="shared" si="115"/>
        <v>0.10139532356018097</v>
      </c>
      <c r="I906" s="766">
        <f t="shared" si="115"/>
        <v>9.032676821971157E-2</v>
      </c>
      <c r="J906" s="766">
        <f t="shared" si="115"/>
        <v>7.2075261995741186E-2</v>
      </c>
      <c r="K906" s="766">
        <f t="shared" si="115"/>
        <v>5.48335897545046E-2</v>
      </c>
      <c r="L906" s="766">
        <f t="shared" si="115"/>
        <v>3.4748945779662185E-2</v>
      </c>
      <c r="M906" s="766">
        <f t="shared" si="115"/>
        <v>2.4806599305336279E-2</v>
      </c>
      <c r="N906" s="766">
        <f t="shared" si="115"/>
        <v>1.1623311713973546E-2</v>
      </c>
      <c r="O906" s="766"/>
      <c r="P906" s="766"/>
      <c r="Q906" s="766"/>
      <c r="R906" s="860"/>
    </row>
    <row r="907" spans="1:18" s="773" customFormat="1" ht="16.350000000000001" customHeight="1" outlineLevel="1">
      <c r="A907" s="339"/>
      <c r="B907" s="769" t="s">
        <v>722</v>
      </c>
      <c r="C907" s="770"/>
      <c r="D907" s="861">
        <f>(D899/AVERAGE(D855:E855))/365</f>
        <v>1.1565485625838015</v>
      </c>
      <c r="E907" s="861">
        <f t="shared" ref="E907:M907" si="116">(E899/AVERAGE(E855:F855))/365</f>
        <v>1.1494838037063264</v>
      </c>
      <c r="F907" s="861">
        <f>(F899/AVERAGE(F855:G855))/366</f>
        <v>1.2465071131154748</v>
      </c>
      <c r="G907" s="861">
        <f t="shared" si="116"/>
        <v>1.3475369575964407</v>
      </c>
      <c r="H907" s="861">
        <f t="shared" si="116"/>
        <v>1.3582380033191566</v>
      </c>
      <c r="I907" s="861">
        <f t="shared" si="116"/>
        <v>1.2868147434085853</v>
      </c>
      <c r="J907" s="861">
        <f>(J899/AVERAGE(J855:K855))/366</f>
        <v>1.1536152527835022</v>
      </c>
      <c r="K907" s="861">
        <f t="shared" si="116"/>
        <v>1.1045138751722932</v>
      </c>
      <c r="L907" s="861">
        <f t="shared" si="116"/>
        <v>1.0193281424355611</v>
      </c>
      <c r="M907" s="861">
        <f t="shared" si="116"/>
        <v>1.0243794360106655</v>
      </c>
      <c r="N907" s="861">
        <f>(N899/AVERAGE(N855:O855))/366</f>
        <v>0.80413227493443318</v>
      </c>
      <c r="O907" s="770"/>
      <c r="P907" s="770"/>
      <c r="Q907" s="770"/>
      <c r="R907" s="862"/>
    </row>
    <row r="908" spans="1:18" s="778" customFormat="1" ht="16.350000000000001" customHeight="1" outlineLevel="1">
      <c r="A908" s="339"/>
      <c r="B908" s="774" t="s">
        <v>723</v>
      </c>
      <c r="C908" s="775"/>
      <c r="D908" s="775">
        <f>D861/D899</f>
        <v>524.79010602852225</v>
      </c>
      <c r="E908" s="775">
        <f t="shared" ref="E908:N908" si="117">E861/E899</f>
        <v>538.02522959716134</v>
      </c>
      <c r="F908" s="775">
        <f t="shared" si="117"/>
        <v>551.52749935749159</v>
      </c>
      <c r="G908" s="775">
        <f t="shared" si="117"/>
        <v>568.05829090408702</v>
      </c>
      <c r="H908" s="775">
        <f t="shared" si="117"/>
        <v>553.35943990352405</v>
      </c>
      <c r="I908" s="775">
        <f t="shared" si="117"/>
        <v>524.80755411838675</v>
      </c>
      <c r="J908" s="775">
        <f t="shared" si="117"/>
        <v>535.73471615720518</v>
      </c>
      <c r="K908" s="775">
        <f t="shared" si="117"/>
        <v>521.04668958633692</v>
      </c>
      <c r="L908" s="775">
        <f t="shared" si="117"/>
        <v>527.36251105216627</v>
      </c>
      <c r="M908" s="775">
        <f t="shared" si="117"/>
        <v>520.22633253778838</v>
      </c>
      <c r="N908" s="775">
        <f t="shared" si="117"/>
        <v>547.70000000000005</v>
      </c>
      <c r="O908" s="775"/>
      <c r="P908" s="775"/>
      <c r="Q908" s="775"/>
      <c r="R908" s="863"/>
    </row>
    <row r="909" spans="1:18" s="781" customFormat="1" ht="16.350000000000001" customHeight="1" outlineLevel="1">
      <c r="A909" s="339"/>
      <c r="B909" s="779"/>
      <c r="C909" s="617"/>
      <c r="D909" s="617"/>
      <c r="E909" s="617"/>
      <c r="F909" s="617"/>
      <c r="G909" s="617"/>
      <c r="H909" s="617"/>
      <c r="I909" s="617"/>
      <c r="J909" s="617"/>
      <c r="K909" s="617"/>
      <c r="L909" s="617"/>
      <c r="M909" s="623"/>
      <c r="N909" s="623"/>
      <c r="O909" s="623"/>
      <c r="P909" s="623"/>
      <c r="Q909" s="780"/>
      <c r="R909" s="619"/>
    </row>
    <row r="910" spans="1:18" s="787" customFormat="1" ht="16.350000000000001" customHeight="1" outlineLevel="1">
      <c r="A910" s="344"/>
      <c r="B910" s="782" t="s">
        <v>756</v>
      </c>
      <c r="C910" s="783"/>
      <c r="D910" s="783">
        <v>15827.520945076571</v>
      </c>
      <c r="E910" s="783">
        <v>14292.883603272285</v>
      </c>
      <c r="F910" s="783">
        <v>13530.112820899718</v>
      </c>
      <c r="G910" s="783">
        <v>14753.564913189946</v>
      </c>
      <c r="H910" s="784">
        <v>13412.128571428571</v>
      </c>
      <c r="I910" s="864">
        <v>11450.777777777777</v>
      </c>
      <c r="J910" s="784">
        <v>12858.104545454546</v>
      </c>
      <c r="K910" s="784">
        <v>14275</v>
      </c>
      <c r="L910" s="784">
        <v>13504</v>
      </c>
      <c r="M910" s="784">
        <v>14425</v>
      </c>
      <c r="N910" s="784">
        <v>14700</v>
      </c>
      <c r="O910" s="784"/>
      <c r="P910" s="785"/>
      <c r="Q910" s="865"/>
      <c r="R910" s="573"/>
    </row>
    <row r="911" spans="1:18" s="870" customFormat="1" ht="16.350000000000001" customHeight="1" outlineLevel="1">
      <c r="A911" s="344"/>
      <c r="B911" s="866" t="s">
        <v>757</v>
      </c>
      <c r="C911" s="867"/>
      <c r="D911" s="867">
        <v>0.8110577204831616</v>
      </c>
      <c r="E911" s="867">
        <v>0.81096670129636195</v>
      </c>
      <c r="F911" s="867">
        <v>0.81164217505135272</v>
      </c>
      <c r="G911" s="867">
        <v>0.81039216241184708</v>
      </c>
      <c r="H911" s="867">
        <v>0.82775419895748414</v>
      </c>
      <c r="I911" s="868">
        <v>0.80053503020230865</v>
      </c>
      <c r="J911" s="867">
        <v>0.7887019966560227</v>
      </c>
      <c r="K911" s="867">
        <v>0.79105403232844029</v>
      </c>
      <c r="L911" s="867">
        <v>0.76288326808584839</v>
      </c>
      <c r="M911" s="867">
        <v>0.77969999999999995</v>
      </c>
      <c r="N911" s="867">
        <v>0.77090000000000003</v>
      </c>
      <c r="O911" s="867"/>
      <c r="P911" s="867"/>
      <c r="Q911" s="869"/>
      <c r="R911" s="573"/>
    </row>
    <row r="912" spans="1:18" s="870" customFormat="1" ht="16.350000000000001" customHeight="1" outlineLevel="1">
      <c r="A912" s="344"/>
      <c r="B912" s="866" t="s">
        <v>758</v>
      </c>
      <c r="C912" s="867"/>
      <c r="D912" s="867">
        <v>0.1889422795168384</v>
      </c>
      <c r="E912" s="867">
        <v>0.18903329870363805</v>
      </c>
      <c r="F912" s="867">
        <v>0.18835782494864728</v>
      </c>
      <c r="G912" s="867">
        <v>0.18960783758815292</v>
      </c>
      <c r="H912" s="867">
        <v>0.17224580104251586</v>
      </c>
      <c r="I912" s="868">
        <v>0.19946496979769135</v>
      </c>
      <c r="J912" s="867">
        <v>0.2112980033439773</v>
      </c>
      <c r="K912" s="867">
        <v>0.20894596767155971</v>
      </c>
      <c r="L912" s="867">
        <v>0.23711673191415161</v>
      </c>
      <c r="M912" s="867">
        <v>0.22030000000000005</v>
      </c>
      <c r="N912" s="867">
        <v>0.22909999999999997</v>
      </c>
      <c r="O912" s="867"/>
      <c r="P912" s="867"/>
      <c r="Q912" s="869"/>
      <c r="R912" s="573"/>
    </row>
    <row r="913" spans="1:18" s="870" customFormat="1" ht="16.350000000000001" customHeight="1" outlineLevel="1">
      <c r="A913" s="344"/>
      <c r="B913" s="866" t="s">
        <v>759</v>
      </c>
      <c r="C913" s="867"/>
      <c r="D913" s="867">
        <v>5.5969997591742066E-2</v>
      </c>
      <c r="E913" s="867">
        <v>6.3058107429278296E-2</v>
      </c>
      <c r="F913" s="867">
        <v>6.7076883432604428E-2</v>
      </c>
      <c r="G913" s="867">
        <v>7.1965848189173731E-2</v>
      </c>
      <c r="H913" s="867">
        <v>6.5539418868802657E-2</v>
      </c>
      <c r="I913" s="868">
        <v>7.3997593990431626E-2</v>
      </c>
      <c r="J913" s="867">
        <v>7.2009157449162781E-2</v>
      </c>
      <c r="K913" s="867">
        <v>7.7708664153121637E-2</v>
      </c>
      <c r="L913" s="868">
        <v>7.8422960967194061E-2</v>
      </c>
      <c r="M913" s="867">
        <v>6.6600000000000006E-2</v>
      </c>
      <c r="N913" s="867">
        <v>5.1200000000000002E-2</v>
      </c>
      <c r="O913" s="867">
        <v>0.05</v>
      </c>
      <c r="P913" s="867"/>
      <c r="Q913" s="869"/>
      <c r="R913" s="573"/>
    </row>
    <row r="914" spans="1:18" s="792" customFormat="1" ht="16.350000000000001" customHeight="1" outlineLevel="1">
      <c r="A914" s="344"/>
      <c r="B914" s="871"/>
      <c r="C914" s="872"/>
      <c r="D914" s="872"/>
      <c r="E914" s="872"/>
      <c r="F914" s="872"/>
      <c r="G914" s="872"/>
      <c r="H914" s="872"/>
      <c r="I914" s="872"/>
      <c r="J914" s="872"/>
      <c r="K914" s="872"/>
      <c r="L914" s="872"/>
      <c r="M914" s="872"/>
      <c r="N914" s="872"/>
      <c r="O914" s="872"/>
      <c r="P914" s="872"/>
      <c r="Q914" s="873"/>
      <c r="R914" s="573"/>
    </row>
    <row r="915" spans="1:18" s="792" customFormat="1" ht="16.350000000000001" customHeight="1" outlineLevel="1">
      <c r="A915" s="741"/>
      <c r="B915" s="793"/>
      <c r="C915" s="872"/>
      <c r="D915" s="872"/>
      <c r="E915" s="872"/>
      <c r="F915" s="872"/>
      <c r="G915" s="872"/>
      <c r="H915" s="872"/>
      <c r="I915" s="872"/>
      <c r="J915" s="872"/>
      <c r="K915" s="872"/>
      <c r="L915" s="872"/>
      <c r="M915" s="872"/>
      <c r="N915" s="872"/>
      <c r="O915" s="872"/>
      <c r="P915" s="872"/>
      <c r="Q915" s="872"/>
      <c r="R915" s="745"/>
    </row>
    <row r="916" spans="1:18" s="799" customFormat="1" ht="19.350000000000001" customHeight="1">
      <c r="A916" s="1566" t="s">
        <v>760</v>
      </c>
      <c r="B916" s="1567"/>
      <c r="C916" s="874"/>
      <c r="D916" s="875"/>
      <c r="E916" s="875"/>
      <c r="F916" s="875"/>
      <c r="G916" s="875"/>
      <c r="H916" s="876"/>
      <c r="I916" s="876"/>
      <c r="J916" s="876"/>
      <c r="K916" s="876"/>
      <c r="L916" s="876"/>
      <c r="M916" s="876"/>
      <c r="N916" s="876"/>
      <c r="O916" s="876"/>
      <c r="P916" s="876"/>
      <c r="Q916" s="876"/>
      <c r="R916" s="877"/>
    </row>
    <row r="917" spans="1:18" s="750" customFormat="1" ht="16.350000000000001" customHeight="1" outlineLevel="1">
      <c r="A917" s="344"/>
      <c r="B917" s="568" t="s">
        <v>233</v>
      </c>
      <c r="C917" s="878"/>
      <c r="D917" s="879">
        <v>3.0125626764655352E-2</v>
      </c>
      <c r="E917" s="879">
        <v>2.0000000000000001E-4</v>
      </c>
      <c r="F917" s="879">
        <v>4.87E-2</v>
      </c>
      <c r="G917" s="879">
        <v>0.1961</v>
      </c>
      <c r="H917" s="880">
        <v>0.40789999999999998</v>
      </c>
      <c r="I917" s="880">
        <v>0.2853</v>
      </c>
      <c r="J917" s="881"/>
      <c r="K917" s="732"/>
      <c r="L917" s="732"/>
      <c r="M917" s="732"/>
      <c r="N917" s="732"/>
      <c r="O917" s="732"/>
      <c r="P917" s="732"/>
      <c r="Q917" s="732"/>
      <c r="R917" s="882"/>
    </row>
    <row r="918" spans="1:18" s="750" customFormat="1" ht="16.350000000000001" customHeight="1" outlineLevel="1">
      <c r="A918" s="344"/>
      <c r="B918" s="575" t="s">
        <v>651</v>
      </c>
      <c r="C918" s="878"/>
      <c r="D918" s="879">
        <v>4.1498984997939671E-2</v>
      </c>
      <c r="E918" s="879">
        <v>1.17E-2</v>
      </c>
      <c r="F918" s="879">
        <v>7.5499999999999998E-2</v>
      </c>
      <c r="G918" s="879">
        <v>0.13239999999999999</v>
      </c>
      <c r="H918" s="880">
        <v>3.7600000000000001E-2</v>
      </c>
      <c r="I918" s="880">
        <v>3.2000000000000002E-3</v>
      </c>
      <c r="J918" s="881"/>
      <c r="K918" s="732"/>
      <c r="L918" s="732"/>
      <c r="M918" s="732"/>
      <c r="N918" s="732"/>
      <c r="O918" s="732"/>
      <c r="P918" s="732"/>
      <c r="Q918" s="732"/>
      <c r="R918" s="882"/>
    </row>
    <row r="919" spans="1:18" s="750" customFormat="1" ht="16.350000000000001" customHeight="1" outlineLevel="1">
      <c r="A919" s="344"/>
      <c r="B919" s="575" t="s">
        <v>652</v>
      </c>
      <c r="C919" s="878"/>
      <c r="D919" s="879">
        <v>-1.0920181773683675E-2</v>
      </c>
      <c r="E919" s="879">
        <v>-1.14E-2</v>
      </c>
      <c r="F919" s="879">
        <v>-2.5000000000000001E-2</v>
      </c>
      <c r="G919" s="879">
        <v>5.62E-2</v>
      </c>
      <c r="H919" s="880">
        <v>0.3569</v>
      </c>
      <c r="I919" s="880">
        <v>0.28120000000000001</v>
      </c>
      <c r="J919" s="881"/>
      <c r="K919" s="732"/>
      <c r="L919" s="732"/>
      <c r="M919" s="732"/>
      <c r="N919" s="732"/>
      <c r="O919" s="732"/>
      <c r="P919" s="732"/>
      <c r="Q919" s="732"/>
      <c r="R919" s="882"/>
    </row>
    <row r="920" spans="1:18" s="750" customFormat="1" ht="16.350000000000001" customHeight="1" outlineLevel="1">
      <c r="A920" s="344"/>
      <c r="B920" s="581" t="s">
        <v>653</v>
      </c>
      <c r="C920" s="801"/>
      <c r="D920" s="801"/>
      <c r="E920" s="801">
        <v>2711</v>
      </c>
      <c r="F920" s="801">
        <v>1911</v>
      </c>
      <c r="G920" s="801">
        <v>910</v>
      </c>
      <c r="H920" s="801">
        <v>500</v>
      </c>
      <c r="I920" s="732">
        <v>431</v>
      </c>
      <c r="J920" s="732"/>
      <c r="K920" s="732"/>
      <c r="L920" s="732"/>
      <c r="M920" s="732"/>
      <c r="N920" s="732"/>
      <c r="O920" s="732"/>
      <c r="P920" s="732"/>
      <c r="Q920" s="732"/>
      <c r="R920" s="882"/>
    </row>
    <row r="921" spans="1:18" s="885" customFormat="1" ht="16.350000000000001" customHeight="1" outlineLevel="1">
      <c r="A921" s="344"/>
      <c r="B921" s="883"/>
      <c r="C921" s="731"/>
      <c r="D921" s="731"/>
      <c r="E921" s="731"/>
      <c r="F921" s="731"/>
      <c r="G921" s="731"/>
      <c r="H921" s="731"/>
      <c r="I921" s="884"/>
      <c r="J921" s="884"/>
      <c r="K921" s="884"/>
      <c r="L921" s="884"/>
      <c r="M921" s="884"/>
      <c r="N921" s="884"/>
      <c r="O921" s="884"/>
      <c r="P921" s="884"/>
      <c r="Q921" s="884"/>
      <c r="R921" s="882"/>
    </row>
    <row r="922" spans="1:18" s="750" customFormat="1" ht="16.350000000000001" customHeight="1" outlineLevel="1">
      <c r="A922" s="344"/>
      <c r="B922" s="591" t="s">
        <v>654</v>
      </c>
      <c r="C922" s="805"/>
      <c r="D922" s="806">
        <v>6.5149291264962883E-2</v>
      </c>
      <c r="E922" s="806">
        <v>-2.8500000000000001E-2</v>
      </c>
      <c r="F922" s="806">
        <v>4.2900000000000001E-2</v>
      </c>
      <c r="G922" s="806">
        <v>0.1186</v>
      </c>
      <c r="H922" s="807">
        <v>0.2984</v>
      </c>
      <c r="I922" s="807">
        <v>0.42430000000000001</v>
      </c>
      <c r="J922" s="886"/>
      <c r="K922" s="886"/>
      <c r="L922" s="732"/>
      <c r="M922" s="732"/>
      <c r="N922" s="732"/>
      <c r="O922" s="732"/>
      <c r="P922" s="732"/>
      <c r="Q922" s="732"/>
      <c r="R922" s="882"/>
    </row>
    <row r="923" spans="1:18" s="750" customFormat="1" ht="16.350000000000001" customHeight="1" outlineLevel="2">
      <c r="A923" s="344"/>
      <c r="B923" s="593" t="s">
        <v>655</v>
      </c>
      <c r="C923" s="805"/>
      <c r="D923" s="806">
        <v>4.9460009461333415E-2</v>
      </c>
      <c r="E923" s="806">
        <v>2.24E-2</v>
      </c>
      <c r="F923" s="806">
        <v>3.9100000000000003E-2</v>
      </c>
      <c r="G923" s="806">
        <v>0.13719999999999999</v>
      </c>
      <c r="H923" s="807">
        <v>5.4899999999999997E-2</v>
      </c>
      <c r="I923" s="807">
        <v>4.1000000000000003E-3</v>
      </c>
      <c r="J923" s="886"/>
      <c r="K923" s="886"/>
      <c r="L923" s="732"/>
      <c r="M923" s="732"/>
      <c r="N923" s="732"/>
      <c r="O923" s="732"/>
      <c r="P923" s="732"/>
      <c r="Q923" s="732"/>
      <c r="R923" s="882"/>
    </row>
    <row r="924" spans="1:18" s="750" customFormat="1" ht="16.350000000000001" customHeight="1" outlineLevel="2">
      <c r="A924" s="344"/>
      <c r="B924" s="593" t="s">
        <v>656</v>
      </c>
      <c r="C924" s="805"/>
      <c r="D924" s="806">
        <v>1.494986151180925E-2</v>
      </c>
      <c r="E924" s="806">
        <v>-4.9799999999999997E-2</v>
      </c>
      <c r="F924" s="806">
        <v>3.7000000000000002E-3</v>
      </c>
      <c r="G924" s="806">
        <v>-1.6299999999999999E-2</v>
      </c>
      <c r="H924" s="807">
        <v>0.23080000000000001</v>
      </c>
      <c r="I924" s="807">
        <v>0.41839999999999999</v>
      </c>
      <c r="J924" s="886"/>
      <c r="K924" s="886"/>
      <c r="L924" s="732"/>
      <c r="M924" s="732"/>
      <c r="N924" s="732"/>
      <c r="O924" s="732"/>
      <c r="P924" s="732"/>
      <c r="Q924" s="732"/>
      <c r="R924" s="882"/>
    </row>
    <row r="925" spans="1:18" s="750" customFormat="1" ht="16.350000000000001" customHeight="1" outlineLevel="2">
      <c r="A925" s="344"/>
      <c r="B925" s="596" t="s">
        <v>657</v>
      </c>
      <c r="C925" s="801"/>
      <c r="D925" s="801"/>
      <c r="E925" s="801">
        <v>2830</v>
      </c>
      <c r="F925" s="801">
        <v>1967</v>
      </c>
      <c r="G925" s="801">
        <v>973</v>
      </c>
      <c r="H925" s="801">
        <v>591</v>
      </c>
      <c r="I925" s="732">
        <v>482</v>
      </c>
      <c r="J925" s="732"/>
      <c r="K925" s="732"/>
      <c r="L925" s="732"/>
      <c r="M925" s="732"/>
      <c r="N925" s="732"/>
      <c r="O925" s="732"/>
      <c r="P925" s="732"/>
      <c r="Q925" s="732"/>
      <c r="R925" s="882"/>
    </row>
    <row r="926" spans="1:18" s="885" customFormat="1" ht="16.350000000000001" customHeight="1" outlineLevel="2">
      <c r="A926" s="344"/>
      <c r="B926" s="883"/>
      <c r="C926" s="731"/>
      <c r="D926" s="731"/>
      <c r="E926" s="731"/>
      <c r="F926" s="731"/>
      <c r="G926" s="731"/>
      <c r="H926" s="731"/>
      <c r="I926" s="884"/>
      <c r="J926" s="884"/>
      <c r="K926" s="884"/>
      <c r="L926" s="884"/>
      <c r="M926" s="884"/>
      <c r="N926" s="884"/>
      <c r="O926" s="884"/>
      <c r="P926" s="884"/>
      <c r="Q926" s="884"/>
      <c r="R926" s="882"/>
    </row>
    <row r="927" spans="1:18" s="750" customFormat="1" ht="16.350000000000001" customHeight="1" outlineLevel="1">
      <c r="A927" s="344"/>
      <c r="B927" s="591" t="s">
        <v>658</v>
      </c>
      <c r="C927" s="805"/>
      <c r="D927" s="806">
        <v>3.909652314957264E-2</v>
      </c>
      <c r="E927" s="806">
        <v>-1.17E-2</v>
      </c>
      <c r="F927" s="806">
        <v>2.9000000000000001E-2</v>
      </c>
      <c r="G927" s="806">
        <v>0.21879999999999999</v>
      </c>
      <c r="H927" s="807">
        <v>0.40250000000000002</v>
      </c>
      <c r="I927" s="807">
        <v>0.24809999999999999</v>
      </c>
      <c r="J927" s="886"/>
      <c r="K927" s="886"/>
      <c r="L927" s="732"/>
      <c r="M927" s="732"/>
      <c r="N927" s="732"/>
      <c r="O927" s="732"/>
      <c r="P927" s="732"/>
      <c r="Q927" s="732"/>
      <c r="R927" s="882"/>
    </row>
    <row r="928" spans="1:18" s="750" customFormat="1" ht="16.350000000000001" customHeight="1" outlineLevel="2">
      <c r="A928" s="344"/>
      <c r="B928" s="593" t="s">
        <v>659</v>
      </c>
      <c r="C928" s="805"/>
      <c r="D928" s="806">
        <v>3.8190111654574123E-2</v>
      </c>
      <c r="E928" s="806">
        <v>8.8999999999999999E-3</v>
      </c>
      <c r="F928" s="806">
        <v>7.1900000000000006E-2</v>
      </c>
      <c r="G928" s="806">
        <v>0.152</v>
      </c>
      <c r="H928" s="807">
        <v>3.44E-2</v>
      </c>
      <c r="I928" s="807">
        <v>-1.8800000000000001E-2</v>
      </c>
      <c r="J928" s="886"/>
      <c r="K928" s="886"/>
      <c r="L928" s="732"/>
      <c r="M928" s="732"/>
      <c r="N928" s="732"/>
      <c r="O928" s="732"/>
      <c r="P928" s="732"/>
      <c r="Q928" s="732"/>
      <c r="R928" s="882"/>
    </row>
    <row r="929" spans="1:18" s="750" customFormat="1" ht="16.350000000000001" customHeight="1" outlineLevel="2">
      <c r="A929" s="344"/>
      <c r="B929" s="593" t="s">
        <v>660</v>
      </c>
      <c r="C929" s="805"/>
      <c r="D929" s="806">
        <v>8.7306889636427573E-4</v>
      </c>
      <c r="E929" s="806">
        <v>-2.0400000000000001E-2</v>
      </c>
      <c r="F929" s="806">
        <v>-0.04</v>
      </c>
      <c r="G929" s="806">
        <v>5.79E-2</v>
      </c>
      <c r="H929" s="807">
        <v>0.35589999999999999</v>
      </c>
      <c r="I929" s="807">
        <v>0.27200000000000002</v>
      </c>
      <c r="J929" s="886"/>
      <c r="K929" s="886"/>
      <c r="L929" s="732"/>
      <c r="M929" s="732"/>
      <c r="N929" s="732"/>
      <c r="O929" s="732"/>
      <c r="P929" s="732"/>
      <c r="Q929" s="732"/>
      <c r="R929" s="882"/>
    </row>
    <row r="930" spans="1:18" s="750" customFormat="1" ht="16.350000000000001" customHeight="1" outlineLevel="2">
      <c r="A930" s="344"/>
      <c r="B930" s="596" t="s">
        <v>661</v>
      </c>
      <c r="C930" s="801"/>
      <c r="D930" s="801">
        <v>3288</v>
      </c>
      <c r="E930" s="801">
        <v>2588</v>
      </c>
      <c r="F930" s="801">
        <v>1639</v>
      </c>
      <c r="G930" s="801">
        <v>812</v>
      </c>
      <c r="H930" s="732">
        <v>591</v>
      </c>
      <c r="I930" s="732">
        <v>350</v>
      </c>
      <c r="J930" s="732"/>
      <c r="K930" s="732"/>
      <c r="L930" s="732"/>
      <c r="M930" s="732"/>
      <c r="N930" s="732"/>
      <c r="O930" s="732"/>
      <c r="P930" s="732"/>
      <c r="Q930" s="732"/>
      <c r="R930" s="882"/>
    </row>
    <row r="931" spans="1:18" s="885" customFormat="1" ht="16.350000000000001" customHeight="1" outlineLevel="2">
      <c r="A931" s="344"/>
      <c r="B931" s="883"/>
      <c r="C931" s="731"/>
      <c r="D931" s="731"/>
      <c r="E931" s="731"/>
      <c r="F931" s="731"/>
      <c r="G931" s="731"/>
      <c r="H931" s="884"/>
      <c r="I931" s="884"/>
      <c r="J931" s="884"/>
      <c r="K931" s="884"/>
      <c r="L931" s="884"/>
      <c r="M931" s="884"/>
      <c r="N931" s="884"/>
      <c r="O931" s="884"/>
      <c r="P931" s="884"/>
      <c r="Q931" s="884"/>
      <c r="R931" s="882"/>
    </row>
    <row r="932" spans="1:18" s="750" customFormat="1" ht="16.350000000000001" customHeight="1" outlineLevel="1">
      <c r="A932" s="344"/>
      <c r="B932" s="591" t="s">
        <v>662</v>
      </c>
      <c r="C932" s="805"/>
      <c r="D932" s="806">
        <v>7.1664948030816219E-3</v>
      </c>
      <c r="E932" s="806">
        <v>4.2900000000000001E-2</v>
      </c>
      <c r="F932" s="806">
        <v>4.2999999999999997E-2</v>
      </c>
      <c r="G932" s="806">
        <v>0.25990000000000002</v>
      </c>
      <c r="H932" s="807">
        <v>0.45650000000000002</v>
      </c>
      <c r="I932" s="807">
        <v>0.15279999999999999</v>
      </c>
      <c r="J932" s="886"/>
      <c r="K932" s="886"/>
      <c r="L932" s="732"/>
      <c r="M932" s="732"/>
      <c r="N932" s="732"/>
      <c r="O932" s="732"/>
      <c r="P932" s="732"/>
      <c r="Q932" s="732"/>
      <c r="R932" s="882"/>
    </row>
    <row r="933" spans="1:18" s="750" customFormat="1" ht="16.350000000000001" customHeight="1" outlineLevel="2">
      <c r="A933" s="344"/>
      <c r="B933" s="593" t="s">
        <v>663</v>
      </c>
      <c r="C933" s="805"/>
      <c r="D933" s="806">
        <v>2.9341923073595989E-2</v>
      </c>
      <c r="E933" s="806">
        <v>1.46E-2</v>
      </c>
      <c r="F933" s="806">
        <v>0.1017</v>
      </c>
      <c r="G933" s="806">
        <v>0.14349999999999999</v>
      </c>
      <c r="H933" s="807">
        <v>3.61E-2</v>
      </c>
      <c r="I933" s="807">
        <v>-1.6999999999999999E-3</v>
      </c>
      <c r="J933" s="886"/>
      <c r="K933" s="886"/>
      <c r="L933" s="732"/>
      <c r="M933" s="732"/>
      <c r="N933" s="732"/>
      <c r="O933" s="732"/>
      <c r="P933" s="732"/>
      <c r="Q933" s="732"/>
      <c r="R933" s="882"/>
    </row>
    <row r="934" spans="1:18" s="750" customFormat="1" ht="16.350000000000001" customHeight="1" outlineLevel="2">
      <c r="A934" s="344"/>
      <c r="B934" s="593" t="s">
        <v>664</v>
      </c>
      <c r="C934" s="805"/>
      <c r="D934" s="806">
        <v>-2.1543306236181468E-2</v>
      </c>
      <c r="E934" s="806">
        <v>2.7900000000000001E-2</v>
      </c>
      <c r="F934" s="806">
        <v>-5.33E-2</v>
      </c>
      <c r="G934" s="806">
        <v>0.1018</v>
      </c>
      <c r="H934" s="807">
        <v>0.40579999999999999</v>
      </c>
      <c r="I934" s="807">
        <v>0.15479999999999999</v>
      </c>
      <c r="J934" s="886"/>
      <c r="K934" s="886"/>
      <c r="L934" s="732"/>
      <c r="M934" s="732"/>
      <c r="N934" s="732"/>
      <c r="O934" s="732"/>
      <c r="P934" s="732"/>
      <c r="Q934" s="732"/>
      <c r="R934" s="882"/>
    </row>
    <row r="935" spans="1:18" s="750" customFormat="1" ht="16.350000000000001" customHeight="1" outlineLevel="2">
      <c r="A935" s="344"/>
      <c r="B935" s="596" t="s">
        <v>665</v>
      </c>
      <c r="C935" s="801"/>
      <c r="D935" s="801">
        <v>3093</v>
      </c>
      <c r="E935" s="801">
        <v>2378</v>
      </c>
      <c r="F935" s="801">
        <v>1376</v>
      </c>
      <c r="G935" s="801">
        <v>715</v>
      </c>
      <c r="H935" s="732">
        <v>590</v>
      </c>
      <c r="I935" s="732">
        <v>253</v>
      </c>
      <c r="J935" s="732"/>
      <c r="K935" s="732"/>
      <c r="L935" s="732"/>
      <c r="M935" s="732"/>
      <c r="N935" s="732"/>
      <c r="O935" s="732"/>
      <c r="P935" s="732"/>
      <c r="Q935" s="732"/>
      <c r="R935" s="882"/>
    </row>
    <row r="936" spans="1:18" s="885" customFormat="1" ht="16.350000000000001" customHeight="1" outlineLevel="2">
      <c r="A936" s="344"/>
      <c r="B936" s="883"/>
      <c r="C936" s="731"/>
      <c r="D936" s="731"/>
      <c r="E936" s="731"/>
      <c r="F936" s="731"/>
      <c r="G936" s="731"/>
      <c r="H936" s="884"/>
      <c r="I936" s="884"/>
      <c r="J936" s="884"/>
      <c r="K936" s="884"/>
      <c r="L936" s="884"/>
      <c r="M936" s="884"/>
      <c r="N936" s="884"/>
      <c r="O936" s="884"/>
      <c r="P936" s="884"/>
      <c r="Q936" s="884"/>
      <c r="R936" s="882"/>
    </row>
    <row r="937" spans="1:18" s="750" customFormat="1" ht="16.350000000000001" customHeight="1" outlineLevel="1">
      <c r="A937" s="344"/>
      <c r="B937" s="591" t="s">
        <v>730</v>
      </c>
      <c r="C937" s="806">
        <v>3.4000000000000002E-2</v>
      </c>
      <c r="D937" s="806">
        <v>1E-3</v>
      </c>
      <c r="E937" s="806">
        <v>-6.9999999999999999E-4</v>
      </c>
      <c r="F937" s="806">
        <v>8.6599999999999996E-2</v>
      </c>
      <c r="G937" s="806">
        <v>0.23860000000000001</v>
      </c>
      <c r="H937" s="807">
        <v>0.53500000000000003</v>
      </c>
      <c r="I937" s="807">
        <v>4.4699999999999997E-2</v>
      </c>
      <c r="J937" s="886"/>
      <c r="K937" s="886"/>
      <c r="L937" s="732"/>
      <c r="M937" s="732"/>
      <c r="N937" s="732"/>
      <c r="O937" s="732"/>
      <c r="P937" s="732"/>
      <c r="Q937" s="732"/>
      <c r="R937" s="882"/>
    </row>
    <row r="938" spans="1:18" s="750" customFormat="1" ht="16.350000000000001" customHeight="1" outlineLevel="2">
      <c r="A938" s="344"/>
      <c r="B938" s="593" t="s">
        <v>667</v>
      </c>
      <c r="C938" s="806">
        <v>3.3000000000000002E-2</v>
      </c>
      <c r="D938" s="806">
        <v>4.53E-2</v>
      </c>
      <c r="E938" s="806">
        <v>1.4E-3</v>
      </c>
      <c r="F938" s="806">
        <v>0.11509999999999999</v>
      </c>
      <c r="G938" s="806">
        <v>9.9699999999999997E-2</v>
      </c>
      <c r="H938" s="807">
        <v>1.9699999999999999E-2</v>
      </c>
      <c r="I938" s="807">
        <v>6.4299999999999996E-2</v>
      </c>
      <c r="J938" s="886"/>
      <c r="K938" s="886"/>
      <c r="L938" s="732"/>
      <c r="M938" s="732"/>
      <c r="N938" s="732"/>
      <c r="O938" s="732"/>
      <c r="P938" s="732"/>
      <c r="Q938" s="732"/>
      <c r="R938" s="882"/>
    </row>
    <row r="939" spans="1:18" s="750" customFormat="1" ht="16.350000000000001" customHeight="1" outlineLevel="2">
      <c r="A939" s="344"/>
      <c r="B939" s="593" t="s">
        <v>668</v>
      </c>
      <c r="C939" s="806">
        <v>1E-3</v>
      </c>
      <c r="D939" s="806">
        <v>-4.24E-2</v>
      </c>
      <c r="E939" s="806">
        <v>-2.0999999999999999E-3</v>
      </c>
      <c r="F939" s="806">
        <v>-2.5600000000000001E-2</v>
      </c>
      <c r="G939" s="806">
        <v>0.1263</v>
      </c>
      <c r="H939" s="807">
        <v>0.50539999999999996</v>
      </c>
      <c r="I939" s="807">
        <v>-1.84E-2</v>
      </c>
      <c r="J939" s="886"/>
      <c r="K939" s="886"/>
      <c r="L939" s="732"/>
      <c r="M939" s="732"/>
      <c r="N939" s="732"/>
      <c r="O939" s="732"/>
      <c r="P939" s="732"/>
      <c r="Q939" s="732"/>
      <c r="R939" s="882"/>
    </row>
    <row r="940" spans="1:18" s="750" customFormat="1" ht="16.350000000000001" customHeight="1" outlineLevel="2">
      <c r="A940" s="344"/>
      <c r="B940" s="596" t="s">
        <v>669</v>
      </c>
      <c r="C940" s="887"/>
      <c r="D940" s="801">
        <v>2947</v>
      </c>
      <c r="E940" s="801">
        <v>2127</v>
      </c>
      <c r="F940" s="801">
        <v>1114</v>
      </c>
      <c r="G940" s="801">
        <v>639</v>
      </c>
      <c r="H940" s="732">
        <v>571</v>
      </c>
      <c r="I940" s="732">
        <v>186</v>
      </c>
      <c r="J940" s="732"/>
      <c r="K940" s="732"/>
      <c r="L940" s="732"/>
      <c r="M940" s="732"/>
      <c r="N940" s="732"/>
      <c r="O940" s="732"/>
      <c r="P940" s="732"/>
      <c r="Q940" s="732"/>
      <c r="R940" s="882"/>
    </row>
    <row r="941" spans="1:18" s="750" customFormat="1" ht="16.350000000000001" customHeight="1" outlineLevel="2">
      <c r="A941" s="344"/>
      <c r="B941" s="596"/>
      <c r="C941" s="801"/>
      <c r="D941" s="801"/>
      <c r="E941" s="801"/>
      <c r="F941" s="801"/>
      <c r="G941" s="801"/>
      <c r="H941" s="732"/>
      <c r="I941" s="732"/>
      <c r="J941" s="732"/>
      <c r="K941" s="732"/>
      <c r="L941" s="732"/>
      <c r="M941" s="732"/>
      <c r="N941" s="732"/>
      <c r="O941" s="732"/>
      <c r="P941" s="732"/>
      <c r="Q941" s="732"/>
      <c r="R941" s="882"/>
    </row>
    <row r="942" spans="1:18" s="750" customFormat="1" ht="16.350000000000001" customHeight="1" outlineLevel="1">
      <c r="A942" s="344"/>
      <c r="B942" s="596"/>
      <c r="C942" s="801"/>
      <c r="D942" s="801"/>
      <c r="E942" s="801"/>
      <c r="F942" s="801"/>
      <c r="G942" s="801"/>
      <c r="H942" s="732"/>
      <c r="I942" s="732"/>
      <c r="J942" s="732"/>
      <c r="K942" s="732"/>
      <c r="L942" s="732"/>
      <c r="M942" s="732"/>
      <c r="N942" s="732"/>
      <c r="O942" s="732"/>
      <c r="P942" s="732"/>
      <c r="Q942" s="732"/>
      <c r="R942" s="882"/>
    </row>
    <row r="943" spans="1:18" s="894" customFormat="1" ht="16.350000000000001" customHeight="1" outlineLevel="1">
      <c r="A943" s="888"/>
      <c r="B943" s="889" t="s">
        <v>761</v>
      </c>
      <c r="C943" s="890"/>
      <c r="D943" s="890">
        <f>E949</f>
        <v>866250</v>
      </c>
      <c r="E943" s="890">
        <f>F949</f>
        <v>718840</v>
      </c>
      <c r="F943" s="890">
        <f t="shared" ref="F943:K943" si="118">G949</f>
        <v>484840</v>
      </c>
      <c r="G943" s="890">
        <f t="shared" si="118"/>
        <v>249170</v>
      </c>
      <c r="H943" s="890">
        <f t="shared" si="118"/>
        <v>163040</v>
      </c>
      <c r="I943" s="890">
        <f t="shared" si="118"/>
        <v>159830</v>
      </c>
      <c r="J943" s="890">
        <f t="shared" si="118"/>
        <v>50090</v>
      </c>
      <c r="K943" s="890">
        <f t="shared" si="118"/>
        <v>449</v>
      </c>
      <c r="L943" s="890">
        <v>0</v>
      </c>
      <c r="M943" s="891"/>
      <c r="N943" s="891"/>
      <c r="O943" s="891"/>
      <c r="P943" s="891"/>
      <c r="Q943" s="892"/>
      <c r="R943" s="893"/>
    </row>
    <row r="944" spans="1:18" s="898" customFormat="1" ht="16.350000000000001" customHeight="1" outlineLevel="1">
      <c r="A944" s="888"/>
      <c r="B944" s="895" t="s">
        <v>762</v>
      </c>
      <c r="C944" s="890"/>
      <c r="D944" s="890">
        <v>28160</v>
      </c>
      <c r="E944" s="890">
        <v>17400</v>
      </c>
      <c r="F944" s="890">
        <v>50230</v>
      </c>
      <c r="G944" s="890">
        <v>35730</v>
      </c>
      <c r="H944" s="896">
        <v>4250</v>
      </c>
      <c r="I944" s="896">
        <v>6580</v>
      </c>
      <c r="J944" s="896">
        <v>13030</v>
      </c>
      <c r="K944" s="896">
        <v>851</v>
      </c>
      <c r="L944" s="896"/>
      <c r="M944" s="897"/>
      <c r="N944" s="897"/>
      <c r="O944" s="897"/>
      <c r="P944" s="897"/>
      <c r="Q944" s="892"/>
      <c r="R944" s="893"/>
    </row>
    <row r="945" spans="1:18" s="898" customFormat="1" ht="16.350000000000001" customHeight="1" outlineLevel="1">
      <c r="A945" s="888"/>
      <c r="B945" s="895" t="s">
        <v>763</v>
      </c>
      <c r="C945" s="890"/>
      <c r="D945" s="890">
        <v>24770</v>
      </c>
      <c r="E945" s="890">
        <v>31830</v>
      </c>
      <c r="F945" s="890">
        <v>58450</v>
      </c>
      <c r="G945" s="890">
        <v>64310</v>
      </c>
      <c r="H945" s="896">
        <v>16700</v>
      </c>
      <c r="I945" s="896">
        <v>-1970</v>
      </c>
      <c r="J945" s="896">
        <v>17580</v>
      </c>
      <c r="K945" s="896">
        <v>4260</v>
      </c>
      <c r="L945" s="896"/>
      <c r="M945" s="897"/>
      <c r="N945" s="897"/>
      <c r="O945" s="897"/>
      <c r="P945" s="897"/>
      <c r="Q945" s="892"/>
      <c r="R945" s="893"/>
    </row>
    <row r="946" spans="1:18" s="898" customFormat="1" ht="16.350000000000001" customHeight="1" outlineLevel="1">
      <c r="A946" s="888"/>
      <c r="B946" s="895" t="s">
        <v>764</v>
      </c>
      <c r="C946" s="890"/>
      <c r="D946" s="890">
        <f>ROUND(37034,-1)</f>
        <v>37030</v>
      </c>
      <c r="E946" s="890">
        <v>50930</v>
      </c>
      <c r="F946" s="890">
        <v>56390</v>
      </c>
      <c r="G946" s="890">
        <v>63710</v>
      </c>
      <c r="H946" s="896">
        <v>22490</v>
      </c>
      <c r="I946" s="896">
        <v>-2670</v>
      </c>
      <c r="J946" s="896">
        <v>28440</v>
      </c>
      <c r="K946" s="896">
        <v>16940</v>
      </c>
      <c r="L946" s="896"/>
      <c r="M946" s="897"/>
      <c r="N946" s="897"/>
      <c r="O946" s="897"/>
      <c r="P946" s="897"/>
      <c r="Q946" s="892"/>
      <c r="R946" s="893"/>
    </row>
    <row r="947" spans="1:18" s="898" customFormat="1" ht="16.350000000000001" customHeight="1" outlineLevel="1">
      <c r="A947" s="888"/>
      <c r="B947" s="895" t="s">
        <v>765</v>
      </c>
      <c r="C947" s="890"/>
      <c r="D947" s="890">
        <f>ROUND(81325,-1)</f>
        <v>81330</v>
      </c>
      <c r="E947" s="890">
        <v>47240</v>
      </c>
      <c r="F947" s="890">
        <v>68930</v>
      </c>
      <c r="G947" s="890">
        <v>71920</v>
      </c>
      <c r="H947" s="896">
        <v>42690</v>
      </c>
      <c r="I947" s="896">
        <v>1270</v>
      </c>
      <c r="J947" s="896">
        <v>50690</v>
      </c>
      <c r="K947" s="896">
        <v>27590</v>
      </c>
      <c r="L947" s="896">
        <v>449</v>
      </c>
      <c r="M947" s="897"/>
      <c r="N947" s="897"/>
      <c r="O947" s="897"/>
      <c r="P947" s="897"/>
      <c r="Q947" s="892"/>
      <c r="R947" s="893"/>
    </row>
    <row r="948" spans="1:18" s="904" customFormat="1" ht="16.350000000000001" customHeight="1" outlineLevel="1">
      <c r="A948" s="888"/>
      <c r="B948" s="899" t="s">
        <v>766</v>
      </c>
      <c r="C948" s="900"/>
      <c r="D948" s="901">
        <f>D944+D945+D946+D947</f>
        <v>171290</v>
      </c>
      <c r="E948" s="901">
        <v>147410</v>
      </c>
      <c r="F948" s="901">
        <f t="shared" ref="F948:K948" si="119">F944+F945+F946+F947</f>
        <v>234000</v>
      </c>
      <c r="G948" s="901">
        <f t="shared" si="119"/>
        <v>235670</v>
      </c>
      <c r="H948" s="901">
        <f t="shared" si="119"/>
        <v>86130</v>
      </c>
      <c r="I948" s="901">
        <f t="shared" si="119"/>
        <v>3210</v>
      </c>
      <c r="J948" s="901">
        <f t="shared" si="119"/>
        <v>109740</v>
      </c>
      <c r="K948" s="901">
        <f t="shared" si="119"/>
        <v>49641</v>
      </c>
      <c r="L948" s="901">
        <f>SUM(L944:L947)</f>
        <v>449</v>
      </c>
      <c r="M948" s="902"/>
      <c r="N948" s="902"/>
      <c r="O948" s="902"/>
      <c r="P948" s="902"/>
      <c r="Q948" s="903"/>
      <c r="R948" s="893"/>
    </row>
    <row r="949" spans="1:18" s="909" customFormat="1" ht="16.350000000000001" customHeight="1" outlineLevel="1">
      <c r="A949" s="888"/>
      <c r="B949" s="905" t="s">
        <v>767</v>
      </c>
      <c r="C949" s="906"/>
      <c r="D949" s="906">
        <f t="shared" ref="D949:L949" si="120">D943+D948</f>
        <v>1037540</v>
      </c>
      <c r="E949" s="906">
        <f t="shared" si="120"/>
        <v>866250</v>
      </c>
      <c r="F949" s="906">
        <f t="shared" si="120"/>
        <v>718840</v>
      </c>
      <c r="G949" s="906">
        <f t="shared" si="120"/>
        <v>484840</v>
      </c>
      <c r="H949" s="906">
        <f t="shared" si="120"/>
        <v>249170</v>
      </c>
      <c r="I949" s="906">
        <f t="shared" si="120"/>
        <v>163040</v>
      </c>
      <c r="J949" s="906">
        <f t="shared" si="120"/>
        <v>159830</v>
      </c>
      <c r="K949" s="906">
        <f t="shared" si="120"/>
        <v>50090</v>
      </c>
      <c r="L949" s="906">
        <f t="shared" si="120"/>
        <v>449</v>
      </c>
      <c r="M949" s="907"/>
      <c r="N949" s="907"/>
      <c r="O949" s="907"/>
      <c r="P949" s="907"/>
      <c r="Q949" s="908"/>
      <c r="R949" s="893"/>
    </row>
    <row r="950" spans="1:18" s="635" customFormat="1" ht="16.350000000000001" customHeight="1" outlineLevel="1">
      <c r="A950" s="339"/>
      <c r="B950" s="632"/>
      <c r="C950" s="636"/>
      <c r="D950" s="695"/>
      <c r="E950" s="695"/>
      <c r="F950" s="695"/>
      <c r="G950" s="695"/>
      <c r="H950" s="695"/>
      <c r="I950" s="695"/>
      <c r="J950" s="695"/>
      <c r="K950" s="695"/>
      <c r="L950" s="695"/>
      <c r="M950" s="910"/>
      <c r="N950" s="636"/>
      <c r="O950" s="636"/>
      <c r="P950" s="636"/>
      <c r="Q950" s="637"/>
      <c r="R950" s="255"/>
    </row>
    <row r="951" spans="1:18" s="644" customFormat="1" ht="16.350000000000001" customHeight="1" outlineLevel="1">
      <c r="A951" s="339"/>
      <c r="B951" s="638" t="s">
        <v>677</v>
      </c>
      <c r="C951" s="639"/>
      <c r="D951" s="640">
        <f t="shared" ref="D951:K951" si="121">D948/D943</f>
        <v>0.19773737373737374</v>
      </c>
      <c r="E951" s="640">
        <f t="shared" si="121"/>
        <v>0.20506649602136776</v>
      </c>
      <c r="F951" s="640">
        <f t="shared" si="121"/>
        <v>0.48263344608530651</v>
      </c>
      <c r="G951" s="640">
        <f t="shared" si="121"/>
        <v>0.94582012280772165</v>
      </c>
      <c r="H951" s="640">
        <f t="shared" si="121"/>
        <v>0.5282752698724239</v>
      </c>
      <c r="I951" s="640">
        <f t="shared" si="121"/>
        <v>2.0083839079021459E-2</v>
      </c>
      <c r="J951" s="640">
        <f t="shared" si="121"/>
        <v>2.1908564583749253</v>
      </c>
      <c r="K951" s="640">
        <f t="shared" si="121"/>
        <v>110.55902004454343</v>
      </c>
      <c r="L951" s="911"/>
      <c r="M951" s="826"/>
      <c r="N951" s="826"/>
      <c r="O951" s="826"/>
      <c r="P951" s="826"/>
      <c r="Q951" s="643"/>
      <c r="R951" s="255"/>
    </row>
    <row r="952" spans="1:18" s="644" customFormat="1" ht="16.350000000000001" customHeight="1" outlineLevel="1">
      <c r="A952" s="339"/>
      <c r="B952" s="638" t="s">
        <v>678</v>
      </c>
      <c r="C952" s="639"/>
      <c r="D952" s="640">
        <f t="shared" ref="D952:L952" si="122">D949/D10</f>
        <v>0.16151976847909508</v>
      </c>
      <c r="E952" s="640">
        <f t="shared" si="122"/>
        <v>0.15052285514705627</v>
      </c>
      <c r="F952" s="640">
        <f t="shared" si="122"/>
        <v>0.14184822610785627</v>
      </c>
      <c r="G952" s="640">
        <f t="shared" si="122"/>
        <v>0.10984838186382462</v>
      </c>
      <c r="H952" s="640">
        <f t="shared" si="122"/>
        <v>6.9394314105563348E-2</v>
      </c>
      <c r="I952" s="640">
        <f t="shared" si="122"/>
        <v>5.4141290703929756E-2</v>
      </c>
      <c r="J952" s="640">
        <f t="shared" si="122"/>
        <v>6.2696625687454405E-2</v>
      </c>
      <c r="K952" s="640">
        <f t="shared" si="122"/>
        <v>2.5424331018800504E-2</v>
      </c>
      <c r="L952" s="640">
        <f t="shared" si="122"/>
        <v>3.1566810556953837E-4</v>
      </c>
      <c r="M952" s="827"/>
      <c r="N952" s="827"/>
      <c r="O952" s="827"/>
      <c r="P952" s="826"/>
      <c r="Q952" s="643"/>
      <c r="R952" s="255"/>
    </row>
    <row r="953" spans="1:18" s="644" customFormat="1" ht="16.350000000000001" customHeight="1" outlineLevel="1">
      <c r="A953" s="339"/>
      <c r="B953" s="638" t="s">
        <v>679</v>
      </c>
      <c r="C953" s="639"/>
      <c r="D953" s="640">
        <f t="shared" ref="D953:L953" si="123">D948/D12</f>
        <v>0.25616522350337234</v>
      </c>
      <c r="E953" s="640">
        <f t="shared" si="123"/>
        <v>0.21448630087156431</v>
      </c>
      <c r="F953" s="640">
        <f t="shared" si="123"/>
        <v>0.357825521828886</v>
      </c>
      <c r="G953" s="640">
        <f t="shared" si="123"/>
        <v>0.28632696700199251</v>
      </c>
      <c r="H953" s="640">
        <f t="shared" si="123"/>
        <v>0.14868970755791872</v>
      </c>
      <c r="I953" s="640">
        <f t="shared" si="123"/>
        <v>6.9462477278628924E-3</v>
      </c>
      <c r="J953" s="640">
        <f t="shared" si="123"/>
        <v>0.18950094974961146</v>
      </c>
      <c r="K953" s="640">
        <f t="shared" si="123"/>
        <v>9.0622147577494608E-2</v>
      </c>
      <c r="L953" s="640">
        <f t="shared" si="123"/>
        <v>1.2385762717474959E-3</v>
      </c>
      <c r="M953" s="639"/>
      <c r="N953" s="639"/>
      <c r="O953" s="639"/>
      <c r="P953" s="639"/>
      <c r="Q953" s="643"/>
      <c r="R953" s="255"/>
    </row>
    <row r="954" spans="1:18" s="650" customFormat="1" ht="16.350000000000001" customHeight="1" outlineLevel="1">
      <c r="A954" s="339"/>
      <c r="B954" s="647"/>
      <c r="C954" s="648"/>
      <c r="D954" s="648"/>
      <c r="E954" s="648"/>
      <c r="F954" s="648"/>
      <c r="G954" s="648"/>
      <c r="H954" s="648"/>
      <c r="I954" s="648"/>
      <c r="J954" s="648"/>
      <c r="K954" s="648"/>
      <c r="L954" s="648"/>
      <c r="M954" s="648"/>
      <c r="N954" s="648"/>
      <c r="O954" s="648"/>
      <c r="P954" s="648"/>
      <c r="Q954" s="649"/>
      <c r="R954" s="255"/>
    </row>
    <row r="955" spans="1:18" s="655" customFormat="1" ht="16.350000000000001" customHeight="1" outlineLevel="1">
      <c r="A955" s="344"/>
      <c r="B955" s="651" t="s">
        <v>768</v>
      </c>
      <c r="C955" s="652"/>
      <c r="D955" s="652">
        <f>ROUND(91563494644.267,-3)</f>
        <v>91563495000</v>
      </c>
      <c r="E955" s="652">
        <v>78785810000</v>
      </c>
      <c r="F955" s="652">
        <v>64449430000</v>
      </c>
      <c r="G955" s="652">
        <v>40122060000</v>
      </c>
      <c r="H955" s="653">
        <v>19756680000</v>
      </c>
      <c r="I955" s="653">
        <v>11873350000</v>
      </c>
      <c r="J955" s="653">
        <v>5732510000</v>
      </c>
      <c r="K955" s="653">
        <v>892820000</v>
      </c>
      <c r="L955" s="653">
        <v>1430000</v>
      </c>
      <c r="M955" s="653"/>
      <c r="N955" s="653"/>
      <c r="O955" s="653"/>
      <c r="P955" s="653"/>
      <c r="Q955" s="654"/>
      <c r="R955" s="882"/>
    </row>
    <row r="956" spans="1:18" s="659" customFormat="1" ht="16.350000000000001" customHeight="1" outlineLevel="1">
      <c r="A956" s="344"/>
      <c r="B956" s="656" t="s">
        <v>738</v>
      </c>
      <c r="C956" s="577"/>
      <c r="D956" s="577">
        <v>0.13100000000000001</v>
      </c>
      <c r="E956" s="577">
        <v>0.33700000000000002</v>
      </c>
      <c r="F956" s="577">
        <v>0.90839999999999999</v>
      </c>
      <c r="G956" s="577">
        <v>0.87829999999999997</v>
      </c>
      <c r="H956" s="577">
        <v>0.57669999999999999</v>
      </c>
      <c r="I956" s="577">
        <v>1.5881297229219145</v>
      </c>
      <c r="J956" s="577">
        <v>89.5703422053232</v>
      </c>
      <c r="K956" s="576"/>
      <c r="L956" s="576"/>
      <c r="M956" s="576"/>
      <c r="N956" s="577"/>
      <c r="O956" s="577"/>
      <c r="P956" s="577"/>
      <c r="Q956" s="829"/>
      <c r="R956" s="882"/>
    </row>
    <row r="957" spans="1:18" s="659" customFormat="1" ht="16.350000000000001" customHeight="1" outlineLevel="1">
      <c r="A957" s="344"/>
      <c r="B957" s="656" t="s">
        <v>739</v>
      </c>
      <c r="C957" s="577"/>
      <c r="D957" s="577">
        <v>0.14351821234177153</v>
      </c>
      <c r="E957" s="577">
        <v>0.30480000000000002</v>
      </c>
      <c r="F957" s="577">
        <v>0.70169999999999999</v>
      </c>
      <c r="G957" s="577">
        <v>1.0929</v>
      </c>
      <c r="H957" s="577">
        <v>0.56999999999999995</v>
      </c>
      <c r="I957" s="577">
        <v>1.3972360873839222</v>
      </c>
      <c r="J957" s="577">
        <v>21.625566832217665</v>
      </c>
      <c r="K957" s="576"/>
      <c r="L957" s="576"/>
      <c r="M957" s="576"/>
      <c r="N957" s="577"/>
      <c r="O957" s="577"/>
      <c r="P957" s="577"/>
      <c r="Q957" s="829"/>
      <c r="R957" s="882"/>
    </row>
    <row r="958" spans="1:18" s="659" customFormat="1" ht="16.350000000000001" customHeight="1" outlineLevel="1">
      <c r="A958" s="344"/>
      <c r="B958" s="656" t="s">
        <v>740</v>
      </c>
      <c r="C958" s="577"/>
      <c r="D958" s="577">
        <v>0.17148671907093588</v>
      </c>
      <c r="E958" s="577">
        <v>0.17630000000000001</v>
      </c>
      <c r="F958" s="577">
        <v>0.52290000000000003</v>
      </c>
      <c r="G958" s="577">
        <v>1.137</v>
      </c>
      <c r="H958" s="577">
        <v>0.68410000000000004</v>
      </c>
      <c r="I958" s="577">
        <v>1.0347702864940398</v>
      </c>
      <c r="J958" s="577">
        <v>6.3523538491221299</v>
      </c>
      <c r="K958" s="576"/>
      <c r="L958" s="576"/>
      <c r="M958" s="576"/>
      <c r="N958" s="577"/>
      <c r="O958" s="577"/>
      <c r="P958" s="577"/>
      <c r="Q958" s="829"/>
      <c r="R958" s="882"/>
    </row>
    <row r="959" spans="1:18" s="659" customFormat="1" ht="16.350000000000001" customHeight="1" outlineLevel="1">
      <c r="A959" s="344"/>
      <c r="B959" s="656" t="s">
        <v>741</v>
      </c>
      <c r="D959" s="577">
        <v>0.19595215063854313</v>
      </c>
      <c r="E959" s="577">
        <v>0.12130000000000001</v>
      </c>
      <c r="F959" s="577">
        <v>0.45250000000000001</v>
      </c>
      <c r="G959" s="577">
        <v>1</v>
      </c>
      <c r="H959" s="577">
        <v>0.76639999999999997</v>
      </c>
      <c r="I959" s="577">
        <v>0.7185896187313997</v>
      </c>
      <c r="J959" s="577">
        <v>2.5116438138262334</v>
      </c>
      <c r="K959" s="576"/>
      <c r="L959" s="576"/>
      <c r="M959" s="576"/>
      <c r="N959" s="577"/>
      <c r="O959" s="577"/>
      <c r="P959" s="577"/>
      <c r="Q959" s="829"/>
      <c r="R959" s="882"/>
    </row>
    <row r="960" spans="1:18" s="660" customFormat="1" ht="16.350000000000001" customHeight="1" outlineLevel="1">
      <c r="A960" s="344"/>
      <c r="B960" s="656"/>
      <c r="D960" s="912"/>
      <c r="E960" s="912"/>
      <c r="F960" s="912"/>
      <c r="G960" s="912"/>
      <c r="H960" s="912"/>
      <c r="I960" s="912"/>
      <c r="J960" s="912"/>
      <c r="K960" s="912"/>
      <c r="L960" s="912"/>
      <c r="M960" s="662"/>
      <c r="N960" s="662"/>
      <c r="O960" s="661"/>
      <c r="P960" s="661"/>
      <c r="Q960" s="663"/>
      <c r="R960" s="882"/>
    </row>
    <row r="961" spans="1:18" s="916" customFormat="1" ht="16.350000000000001" customHeight="1" outlineLevel="1">
      <c r="A961" s="344"/>
      <c r="B961" s="913" t="s">
        <v>677</v>
      </c>
      <c r="C961" s="835"/>
      <c r="D961" s="831">
        <f>D955/E955-1</f>
        <v>0.16218256815535681</v>
      </c>
      <c r="E961" s="831">
        <f>E955/F955-1</f>
        <v>0.22244386024825968</v>
      </c>
      <c r="F961" s="831">
        <f t="shared" ref="F961:K961" si="124">(F955-G955)/G955</f>
        <v>0.60633402173268269</v>
      </c>
      <c r="G961" s="831">
        <v>1.0307999999999999</v>
      </c>
      <c r="H961" s="831">
        <v>0.66400000000000003</v>
      </c>
      <c r="I961" s="831">
        <f t="shared" si="124"/>
        <v>1.0712305778794977</v>
      </c>
      <c r="J961" s="831">
        <f t="shared" si="124"/>
        <v>5.4206783002172889</v>
      </c>
      <c r="K961" s="831">
        <f t="shared" si="124"/>
        <v>623.34965034965035</v>
      </c>
      <c r="L961" s="831"/>
      <c r="M961" s="914"/>
      <c r="N961" s="914"/>
      <c r="O961" s="914"/>
      <c r="P961" s="914"/>
      <c r="Q961" s="915"/>
      <c r="R961" s="882"/>
    </row>
    <row r="962" spans="1:18" s="669" customFormat="1" ht="16.350000000000001" customHeight="1" outlineLevel="1">
      <c r="A962" s="344"/>
      <c r="B962" s="664" t="s">
        <v>685</v>
      </c>
      <c r="C962" s="665"/>
      <c r="D962" s="831">
        <f>D961-D951</f>
        <v>-3.555480558201693E-2</v>
      </c>
      <c r="E962" s="831">
        <f>E961-E951</f>
        <v>1.7377364226891928E-2</v>
      </c>
      <c r="F962" s="831">
        <f>F961-F951</f>
        <v>0.12370057564737619</v>
      </c>
      <c r="G962" s="831">
        <f t="shared" ref="G962:L962" si="125">G961-G951</f>
        <v>8.4979877192278286E-2</v>
      </c>
      <c r="H962" s="831">
        <f t="shared" si="125"/>
        <v>0.13572473012757613</v>
      </c>
      <c r="I962" s="831">
        <f t="shared" si="125"/>
        <v>1.0511467388004763</v>
      </c>
      <c r="J962" s="831">
        <f t="shared" si="125"/>
        <v>3.2298218418423636</v>
      </c>
      <c r="K962" s="831">
        <f t="shared" si="125"/>
        <v>512.7906303051069</v>
      </c>
      <c r="L962" s="831">
        <f t="shared" si="125"/>
        <v>0</v>
      </c>
      <c r="M962" s="833"/>
      <c r="N962" s="833"/>
      <c r="O962" s="833"/>
      <c r="P962" s="833"/>
      <c r="Q962" s="834"/>
      <c r="R962" s="882"/>
    </row>
    <row r="963" spans="1:18" s="669" customFormat="1" ht="16.350000000000001" customHeight="1" outlineLevel="1">
      <c r="A963" s="344"/>
      <c r="B963" s="664" t="s">
        <v>686</v>
      </c>
      <c r="C963" s="665"/>
      <c r="D963" s="831">
        <f t="shared" ref="D963:L963" si="126">D955/D3</f>
        <v>7.4019685370819349E-2</v>
      </c>
      <c r="E963" s="831">
        <f t="shared" si="126"/>
        <v>6.8910012251135716E-2</v>
      </c>
      <c r="F963" s="831">
        <f t="shared" si="126"/>
        <v>5.9963469652094939E-2</v>
      </c>
      <c r="G963" s="831">
        <f t="shared" si="126"/>
        <v>4.2206498142374052E-2</v>
      </c>
      <c r="H963" s="831">
        <f t="shared" si="126"/>
        <v>2.5875540065202544E-2</v>
      </c>
      <c r="I963" s="831">
        <f t="shared" si="126"/>
        <v>2.0482068083816782E-2</v>
      </c>
      <c r="J963" s="831">
        <f t="shared" si="126"/>
        <v>1.2776925958196508E-2</v>
      </c>
      <c r="K963" s="831">
        <f t="shared" si="126"/>
        <v>2.6595774073233476E-3</v>
      </c>
      <c r="L963" s="831">
        <f t="shared" si="126"/>
        <v>6.0543566917894243E-6</v>
      </c>
      <c r="M963" s="833"/>
      <c r="N963" s="833"/>
      <c r="O963" s="833"/>
      <c r="P963" s="833"/>
      <c r="Q963" s="834"/>
      <c r="R963" s="882"/>
    </row>
    <row r="964" spans="1:18" s="674" customFormat="1" ht="16.350000000000001" customHeight="1" outlineLevel="1">
      <c r="A964" s="917"/>
      <c r="B964" s="671" t="s">
        <v>687</v>
      </c>
      <c r="C964" s="672"/>
      <c r="D964" s="672">
        <f>(D955/AVERAGE(D949:E949))/365</f>
        <v>263.53630433079167</v>
      </c>
      <c r="E964" s="672">
        <f>(E955/AVERAGE(E949:F949))/365</f>
        <v>272.35240175204603</v>
      </c>
      <c r="F964" s="672">
        <f>(F955/AVERAGE(F949:G949))/366</f>
        <v>292.58829389507878</v>
      </c>
      <c r="G964" s="672">
        <f>(G955/AVERAGE(G949:H949))/365</f>
        <v>299.51486234463977</v>
      </c>
      <c r="H964" s="672">
        <f>(H955/AVERAGE(H949:I949))/365</f>
        <v>262.62288838678779</v>
      </c>
      <c r="I964" s="672">
        <f>(I955/AVERAGE(I949:J949))/365</f>
        <v>201.50355268310625</v>
      </c>
      <c r="J964" s="672">
        <f>(J955/AVERAGE(J949:K949))/366</f>
        <v>149.22442481340798</v>
      </c>
      <c r="K964" s="672">
        <f>(K955/AVERAGE(K949:L949))/365</f>
        <v>96.79978597838587</v>
      </c>
      <c r="L964" s="672"/>
      <c r="M964" s="672"/>
      <c r="N964" s="672"/>
      <c r="O964" s="672"/>
      <c r="P964" s="672"/>
      <c r="Q964" s="836"/>
      <c r="R964" s="882"/>
    </row>
    <row r="965" spans="1:18" s="256" customFormat="1" ht="16.350000000000001" customHeight="1" outlineLevel="1">
      <c r="A965" s="344"/>
      <c r="B965" s="675"/>
      <c r="C965" s="676"/>
      <c r="D965" s="676"/>
      <c r="E965" s="676"/>
      <c r="F965" s="676"/>
      <c r="G965" s="676"/>
      <c r="H965" s="677"/>
      <c r="I965" s="677"/>
      <c r="J965" s="677"/>
      <c r="K965" s="677"/>
      <c r="L965" s="677"/>
      <c r="M965" s="676"/>
      <c r="N965" s="676"/>
      <c r="O965" s="676"/>
      <c r="P965" s="676"/>
      <c r="Q965" s="678"/>
      <c r="R965" s="882"/>
    </row>
    <row r="966" spans="1:18" s="635" customFormat="1" ht="16.350000000000001" customHeight="1" outlineLevel="1">
      <c r="A966" s="339"/>
      <c r="B966" s="679" t="s">
        <v>769</v>
      </c>
      <c r="C966" s="680"/>
      <c r="D966" s="680">
        <f t="shared" ref="D966:K966" si="127">E972</f>
        <v>3774</v>
      </c>
      <c r="E966" s="680">
        <f t="shared" si="127"/>
        <v>3107</v>
      </c>
      <c r="F966" s="680">
        <f t="shared" si="127"/>
        <v>2121</v>
      </c>
      <c r="G966" s="680">
        <f t="shared" si="127"/>
        <v>1080</v>
      </c>
      <c r="H966" s="680">
        <f t="shared" si="127"/>
        <v>686</v>
      </c>
      <c r="I966" s="680">
        <f t="shared" si="127"/>
        <v>692</v>
      </c>
      <c r="J966" s="680">
        <f t="shared" si="127"/>
        <v>210</v>
      </c>
      <c r="K966" s="680">
        <f t="shared" si="127"/>
        <v>2</v>
      </c>
      <c r="L966" s="918">
        <v>0</v>
      </c>
      <c r="M966" s="680"/>
      <c r="N966" s="680"/>
      <c r="O966" s="680"/>
      <c r="P966" s="680"/>
      <c r="Q966" s="681"/>
      <c r="R966" s="255"/>
    </row>
    <row r="967" spans="1:18" s="650" customFormat="1" ht="16.350000000000001" customHeight="1" outlineLevel="1">
      <c r="A967" s="339"/>
      <c r="B967" s="621" t="s">
        <v>689</v>
      </c>
      <c r="C967" s="682"/>
      <c r="D967" s="682">
        <v>116</v>
      </c>
      <c r="E967" s="682">
        <v>67</v>
      </c>
      <c r="F967" s="682">
        <v>216</v>
      </c>
      <c r="G967" s="682">
        <v>159</v>
      </c>
      <c r="H967" s="682">
        <v>14</v>
      </c>
      <c r="I967" s="682">
        <v>21</v>
      </c>
      <c r="J967" s="682">
        <v>56</v>
      </c>
      <c r="K967" s="682">
        <v>2</v>
      </c>
      <c r="L967" s="682">
        <v>0</v>
      </c>
      <c r="M967" s="682"/>
      <c r="N967" s="682"/>
      <c r="O967" s="682"/>
      <c r="P967" s="682"/>
      <c r="Q967" s="683"/>
      <c r="R967" s="255"/>
    </row>
    <row r="968" spans="1:18" s="650" customFormat="1" ht="16.350000000000001" customHeight="1" outlineLevel="1">
      <c r="A968" s="339"/>
      <c r="B968" s="684" t="s">
        <v>690</v>
      </c>
      <c r="C968" s="685"/>
      <c r="D968" s="686">
        <v>110</v>
      </c>
      <c r="E968" s="686">
        <v>126</v>
      </c>
      <c r="F968" s="686">
        <v>251</v>
      </c>
      <c r="G968" s="686">
        <v>288</v>
      </c>
      <c r="H968" s="685">
        <v>78</v>
      </c>
      <c r="I968" s="685">
        <v>-13</v>
      </c>
      <c r="J968" s="685">
        <v>85</v>
      </c>
      <c r="K968" s="685">
        <v>24</v>
      </c>
      <c r="L968" s="685">
        <v>0</v>
      </c>
      <c r="M968" s="685"/>
      <c r="N968" s="685"/>
      <c r="O968" s="685"/>
      <c r="P968" s="685"/>
      <c r="Q968" s="687"/>
      <c r="R968" s="255"/>
    </row>
    <row r="969" spans="1:18" s="650" customFormat="1" ht="16.350000000000001" customHeight="1" outlineLevel="1">
      <c r="A969" s="339"/>
      <c r="B969" s="626" t="s">
        <v>691</v>
      </c>
      <c r="D969" s="688">
        <v>172</v>
      </c>
      <c r="E969" s="688">
        <v>222</v>
      </c>
      <c r="F969" s="688">
        <v>231</v>
      </c>
      <c r="G969" s="688">
        <v>280</v>
      </c>
      <c r="H969" s="648">
        <v>108</v>
      </c>
      <c r="I969" s="648">
        <v>-15</v>
      </c>
      <c r="J969" s="648">
        <v>129</v>
      </c>
      <c r="K969" s="648">
        <v>70</v>
      </c>
      <c r="L969" s="648">
        <v>0</v>
      </c>
      <c r="M969" s="648"/>
      <c r="N969" s="648"/>
      <c r="O969" s="648"/>
      <c r="P969" s="648"/>
      <c r="Q969" s="649"/>
      <c r="R969" s="255"/>
    </row>
    <row r="970" spans="1:18" s="650" customFormat="1" ht="16.350000000000001" customHeight="1" outlineLevel="1">
      <c r="A970" s="339"/>
      <c r="B970" s="626" t="s">
        <v>692</v>
      </c>
      <c r="C970" s="648"/>
      <c r="D970" s="689">
        <v>333</v>
      </c>
      <c r="E970" s="689">
        <v>252</v>
      </c>
      <c r="F970" s="689">
        <v>288</v>
      </c>
      <c r="G970" s="689">
        <v>314</v>
      </c>
      <c r="H970" s="648">
        <v>194</v>
      </c>
      <c r="I970" s="648">
        <v>1</v>
      </c>
      <c r="J970" s="648">
        <v>212</v>
      </c>
      <c r="K970" s="648">
        <v>112</v>
      </c>
      <c r="L970" s="648">
        <v>2</v>
      </c>
      <c r="M970" s="648"/>
      <c r="N970" s="648"/>
      <c r="O970" s="648"/>
      <c r="P970" s="648"/>
      <c r="Q970" s="649"/>
      <c r="R970" s="255"/>
    </row>
    <row r="971" spans="1:18" s="635" customFormat="1" ht="16.350000000000001" customHeight="1" outlineLevel="1">
      <c r="A971" s="339"/>
      <c r="B971" s="690" t="s">
        <v>693</v>
      </c>
      <c r="C971" s="919"/>
      <c r="D971" s="920">
        <f t="shared" ref="D971:L971" si="128">D967+D968+D969+D970</f>
        <v>731</v>
      </c>
      <c r="E971" s="920">
        <f t="shared" si="128"/>
        <v>667</v>
      </c>
      <c r="F971" s="920">
        <f t="shared" si="128"/>
        <v>986</v>
      </c>
      <c r="G971" s="920">
        <f t="shared" si="128"/>
        <v>1041</v>
      </c>
      <c r="H971" s="920">
        <f t="shared" si="128"/>
        <v>394</v>
      </c>
      <c r="I971" s="920">
        <f t="shared" si="128"/>
        <v>-6</v>
      </c>
      <c r="J971" s="920">
        <f t="shared" si="128"/>
        <v>482</v>
      </c>
      <c r="K971" s="920">
        <f t="shared" si="128"/>
        <v>208</v>
      </c>
      <c r="L971" s="920">
        <f t="shared" si="128"/>
        <v>2</v>
      </c>
      <c r="M971" s="919"/>
      <c r="N971" s="919"/>
      <c r="O971" s="919"/>
      <c r="P971" s="919"/>
      <c r="Q971" s="921"/>
      <c r="R971" s="255"/>
    </row>
    <row r="972" spans="1:18" s="635" customFormat="1" ht="16.350000000000001" customHeight="1" outlineLevel="1">
      <c r="A972" s="339"/>
      <c r="B972" s="632" t="s">
        <v>770</v>
      </c>
      <c r="C972" s="633"/>
      <c r="D972" s="633">
        <f>D966+D971</f>
        <v>4505</v>
      </c>
      <c r="E972" s="633">
        <f>E966+E971</f>
        <v>3774</v>
      </c>
      <c r="F972" s="633">
        <f t="shared" ref="F972:L972" si="129">F966+F971</f>
        <v>3107</v>
      </c>
      <c r="G972" s="633">
        <f t="shared" si="129"/>
        <v>2121</v>
      </c>
      <c r="H972" s="633">
        <f t="shared" si="129"/>
        <v>1080</v>
      </c>
      <c r="I972" s="633">
        <f t="shared" si="129"/>
        <v>686</v>
      </c>
      <c r="J972" s="633">
        <f t="shared" si="129"/>
        <v>692</v>
      </c>
      <c r="K972" s="633">
        <f t="shared" si="129"/>
        <v>210</v>
      </c>
      <c r="L972" s="633">
        <f t="shared" si="129"/>
        <v>2</v>
      </c>
      <c r="M972" s="633"/>
      <c r="N972" s="633"/>
      <c r="O972" s="633"/>
      <c r="P972" s="633"/>
      <c r="Q972" s="693"/>
      <c r="R972" s="255"/>
    </row>
    <row r="973" spans="1:18" s="635" customFormat="1" ht="16.350000000000001" customHeight="1" outlineLevel="1">
      <c r="A973" s="339"/>
      <c r="B973" s="632"/>
      <c r="C973" s="636"/>
      <c r="D973" s="695"/>
      <c r="E973" s="695"/>
      <c r="F973" s="695"/>
      <c r="G973" s="695"/>
      <c r="H973" s="695"/>
      <c r="I973" s="695"/>
      <c r="J973" s="695"/>
      <c r="K973" s="695"/>
      <c r="L973" s="695"/>
      <c r="M973" s="636"/>
      <c r="N973" s="636"/>
      <c r="O973" s="636"/>
      <c r="P973" s="636"/>
      <c r="Q973" s="710"/>
      <c r="R973" s="255"/>
    </row>
    <row r="974" spans="1:18" s="699" customFormat="1" ht="16.350000000000001" customHeight="1" outlineLevel="1">
      <c r="A974" s="339"/>
      <c r="B974" s="697" t="s">
        <v>695</v>
      </c>
      <c r="C974" s="694"/>
      <c r="D974" s="694">
        <v>767</v>
      </c>
      <c r="E974" s="694">
        <v>798</v>
      </c>
      <c r="F974" s="694">
        <v>1039</v>
      </c>
      <c r="G974" s="694">
        <v>1061</v>
      </c>
      <c r="H974" s="694">
        <v>422</v>
      </c>
      <c r="I974" s="694">
        <v>85</v>
      </c>
      <c r="J974" s="694">
        <v>495</v>
      </c>
      <c r="K974" s="694">
        <v>209</v>
      </c>
      <c r="L974" s="694">
        <v>2</v>
      </c>
      <c r="M974" s="694"/>
      <c r="N974" s="694"/>
      <c r="O974" s="694"/>
      <c r="P974" s="694"/>
      <c r="Q974" s="698"/>
      <c r="R974" s="255"/>
    </row>
    <row r="975" spans="1:18" s="699" customFormat="1" ht="16.350000000000001" customHeight="1" outlineLevel="1">
      <c r="A975" s="339"/>
      <c r="B975" s="697" t="s">
        <v>696</v>
      </c>
      <c r="C975" s="694"/>
      <c r="D975" s="694">
        <v>-36</v>
      </c>
      <c r="E975" s="694">
        <v>-131</v>
      </c>
      <c r="F975" s="694">
        <v>-53</v>
      </c>
      <c r="G975" s="694">
        <v>-20</v>
      </c>
      <c r="H975" s="694">
        <v>-28</v>
      </c>
      <c r="I975" s="694">
        <v>-91</v>
      </c>
      <c r="J975" s="694">
        <v>-13</v>
      </c>
      <c r="K975" s="694">
        <v>-1</v>
      </c>
      <c r="L975" s="694">
        <v>0</v>
      </c>
      <c r="M975" s="694"/>
      <c r="N975" s="694"/>
      <c r="O975" s="694"/>
      <c r="P975" s="694"/>
      <c r="Q975" s="698"/>
      <c r="R975" s="255"/>
    </row>
    <row r="976" spans="1:18" s="699" customFormat="1" ht="16.350000000000001" customHeight="1" outlineLevel="1">
      <c r="A976" s="696"/>
      <c r="B976" s="697" t="s">
        <v>697</v>
      </c>
      <c r="C976" s="694"/>
      <c r="D976" s="694">
        <v>230.30632630410656</v>
      </c>
      <c r="E976" s="694">
        <v>230</v>
      </c>
      <c r="F976" s="694">
        <v>231.50595429674928</v>
      </c>
      <c r="G976" s="694">
        <v>228.80103724658181</v>
      </c>
      <c r="H976" s="694">
        <v>231.125</v>
      </c>
      <c r="I976" s="694">
        <v>238.32215743440233</v>
      </c>
      <c r="J976" s="694">
        <v>231.61271676300578</v>
      </c>
      <c r="K976" s="694">
        <v>239</v>
      </c>
      <c r="L976" s="694">
        <v>224.5</v>
      </c>
      <c r="M976" s="694"/>
      <c r="N976" s="694"/>
      <c r="O976" s="694"/>
      <c r="P976" s="694"/>
      <c r="Q976" s="698"/>
      <c r="R976" s="255"/>
    </row>
    <row r="977" spans="1:18" s="699" customFormat="1" ht="16.350000000000001" customHeight="1" outlineLevel="1">
      <c r="A977" s="339"/>
      <c r="B977" s="697" t="s">
        <v>744</v>
      </c>
      <c r="C977" s="694"/>
      <c r="D977" s="694">
        <v>288.75937846836848</v>
      </c>
      <c r="E977" s="694">
        <v>287</v>
      </c>
      <c r="F977" s="694">
        <v>292</v>
      </c>
      <c r="G977" s="694">
        <v>298</v>
      </c>
      <c r="H977" s="694">
        <v>306</v>
      </c>
      <c r="I977" s="694">
        <v>316</v>
      </c>
      <c r="J977" s="694">
        <v>302</v>
      </c>
      <c r="K977" s="694">
        <v>318</v>
      </c>
      <c r="L977" s="694">
        <v>314</v>
      </c>
      <c r="M977" s="694"/>
      <c r="N977" s="694"/>
      <c r="O977" s="694"/>
      <c r="P977" s="694"/>
      <c r="Q977" s="698"/>
      <c r="R977" s="255"/>
    </row>
    <row r="978" spans="1:18" s="705" customFormat="1" ht="16.350000000000001" customHeight="1" outlineLevel="1">
      <c r="A978" s="339"/>
      <c r="B978" s="638" t="s">
        <v>699</v>
      </c>
      <c r="C978" s="639"/>
      <c r="D978" s="639">
        <f>D976/D977</f>
        <v>0.79757176208680258</v>
      </c>
      <c r="E978" s="639">
        <f>E976/E977</f>
        <v>0.80139372822299648</v>
      </c>
      <c r="F978" s="639">
        <f>F976/F977</f>
        <v>0.79282861060530574</v>
      </c>
      <c r="G978" s="639">
        <f t="shared" ref="G978:L978" si="130">G976/G977</f>
        <v>0.76778871559255646</v>
      </c>
      <c r="H978" s="639">
        <f t="shared" si="130"/>
        <v>0.75531045751633985</v>
      </c>
      <c r="I978" s="639">
        <f t="shared" si="130"/>
        <v>0.75418404251393145</v>
      </c>
      <c r="J978" s="639">
        <f t="shared" si="130"/>
        <v>0.76692952570531714</v>
      </c>
      <c r="K978" s="639">
        <f t="shared" si="130"/>
        <v>0.75157232704402521</v>
      </c>
      <c r="L978" s="639">
        <f t="shared" si="130"/>
        <v>0.71496815286624205</v>
      </c>
      <c r="M978" s="639"/>
      <c r="N978" s="639"/>
      <c r="O978" s="639"/>
      <c r="P978" s="639"/>
      <c r="Q978" s="704"/>
      <c r="R978" s="255"/>
    </row>
    <row r="979" spans="1:18" s="925" customFormat="1" ht="16.350000000000001" customHeight="1" outlineLevel="1">
      <c r="A979" s="888"/>
      <c r="B979" s="922" t="s">
        <v>700</v>
      </c>
      <c r="C979" s="923"/>
      <c r="D979" s="923">
        <f>1-D980</f>
        <v>0.87902330743618207</v>
      </c>
      <c r="E979" s="923">
        <v>0.86327503974562803</v>
      </c>
      <c r="F979" s="923"/>
      <c r="G979" s="923"/>
      <c r="H979" s="923"/>
      <c r="I979" s="923"/>
      <c r="J979" s="923"/>
      <c r="K979" s="923"/>
      <c r="L979" s="923"/>
      <c r="M979" s="923"/>
      <c r="N979" s="923"/>
      <c r="O979" s="923"/>
      <c r="P979" s="923"/>
      <c r="Q979" s="924"/>
      <c r="R979" s="255"/>
    </row>
    <row r="980" spans="1:18" s="925" customFormat="1" ht="16.350000000000001" customHeight="1" outlineLevel="1">
      <c r="A980" s="888"/>
      <c r="B980" s="922" t="s">
        <v>701</v>
      </c>
      <c r="C980" s="923"/>
      <c r="D980" s="923">
        <v>0.12097669256381798</v>
      </c>
      <c r="E980" s="923">
        <v>0.13672496025437203</v>
      </c>
      <c r="F980" s="923"/>
      <c r="G980" s="923"/>
      <c r="H980" s="923"/>
      <c r="I980" s="923"/>
      <c r="J980" s="923"/>
      <c r="K980" s="923"/>
      <c r="L980" s="923"/>
      <c r="M980" s="923"/>
      <c r="N980" s="923"/>
      <c r="O980" s="923"/>
      <c r="P980" s="923"/>
      <c r="Q980" s="924"/>
      <c r="R980" s="255"/>
    </row>
    <row r="981" spans="1:18" s="709" customFormat="1" ht="16.350000000000001" customHeight="1" outlineLevel="1">
      <c r="A981" s="696"/>
      <c r="B981" s="706" t="s">
        <v>745</v>
      </c>
      <c r="C981" s="707"/>
      <c r="D981" s="707"/>
      <c r="E981" s="707">
        <f>E920/E972</f>
        <v>0.71833598304186541</v>
      </c>
      <c r="F981" s="707">
        <v>0.61506276150627615</v>
      </c>
      <c r="G981" s="707">
        <v>0.42904290429042902</v>
      </c>
      <c r="H981" s="707">
        <v>0.46296296296296297</v>
      </c>
      <c r="I981" s="707">
        <v>0.6282798833819242</v>
      </c>
      <c r="J981" s="707"/>
      <c r="K981" s="707"/>
      <c r="L981" s="707"/>
      <c r="M981" s="707"/>
      <c r="N981" s="707"/>
      <c r="O981" s="707"/>
      <c r="P981" s="707"/>
      <c r="Q981" s="708"/>
      <c r="R981" s="255"/>
    </row>
    <row r="982" spans="1:18" s="709" customFormat="1" ht="16.350000000000001" customHeight="1" outlineLevel="1">
      <c r="A982" s="696"/>
      <c r="B982" s="706" t="s">
        <v>746</v>
      </c>
      <c r="C982" s="707"/>
      <c r="D982" s="707"/>
      <c r="E982" s="707">
        <f>1-E981</f>
        <v>0.28166401695813459</v>
      </c>
      <c r="F982" s="707">
        <v>0.38493723849372385</v>
      </c>
      <c r="G982" s="707">
        <v>0.57095709570957098</v>
      </c>
      <c r="H982" s="707">
        <v>0.53703703703703709</v>
      </c>
      <c r="I982" s="707">
        <v>0.3717201166180758</v>
      </c>
      <c r="J982" s="707">
        <v>1</v>
      </c>
      <c r="K982" s="707">
        <v>1</v>
      </c>
      <c r="L982" s="707">
        <v>1</v>
      </c>
      <c r="M982" s="707"/>
      <c r="N982" s="707"/>
      <c r="O982" s="707"/>
      <c r="P982" s="707"/>
      <c r="Q982" s="708"/>
      <c r="R982" s="255"/>
    </row>
    <row r="983" spans="1:18" s="851" customFormat="1" ht="16.350000000000001" customHeight="1" outlineLevel="1">
      <c r="A983" s="339"/>
      <c r="B983" s="848"/>
      <c r="C983" s="926"/>
      <c r="D983" s="926"/>
      <c r="E983" s="926"/>
      <c r="F983" s="926"/>
      <c r="G983" s="926"/>
      <c r="H983" s="926"/>
      <c r="I983" s="926"/>
      <c r="J983" s="926"/>
      <c r="K983" s="926"/>
      <c r="L983" s="926"/>
      <c r="M983" s="926"/>
      <c r="N983" s="926"/>
      <c r="O983" s="926"/>
      <c r="P983" s="926"/>
      <c r="Q983" s="926"/>
      <c r="R983" s="255"/>
    </row>
    <row r="984" spans="1:18" s="854" customFormat="1" ht="16.350000000000001" customHeight="1" outlineLevel="1">
      <c r="A984" s="344"/>
      <c r="B984" s="751" t="s">
        <v>771</v>
      </c>
      <c r="C984" s="852"/>
      <c r="D984" s="748">
        <v>1.7536071032186459E-2</v>
      </c>
      <c r="E984" s="748">
        <v>1.9607843137254902E-2</v>
      </c>
      <c r="F984" s="748">
        <v>2.8323141293852591E-2</v>
      </c>
      <c r="G984" s="748">
        <v>2.3573785950023574E-2</v>
      </c>
      <c r="H984" s="748">
        <v>9.2592592592592587E-3</v>
      </c>
      <c r="I984" s="748">
        <v>2.9154518950437317E-3</v>
      </c>
      <c r="J984" s="748">
        <v>4.335260115606936E-3</v>
      </c>
      <c r="K984" s="748">
        <v>4.7619047619047623E-3</v>
      </c>
      <c r="L984" s="852"/>
      <c r="M984" s="852"/>
      <c r="N984" s="852"/>
      <c r="O984" s="852"/>
      <c r="P984" s="852"/>
      <c r="Q984" s="853"/>
      <c r="R984" s="882"/>
    </row>
    <row r="985" spans="1:18" s="854" customFormat="1" ht="16.350000000000001" customHeight="1" outlineLevel="1">
      <c r="A985" s="344"/>
      <c r="B985" s="751" t="s">
        <v>772</v>
      </c>
      <c r="C985" s="852"/>
      <c r="D985" s="748">
        <v>6.4372918978912322E-3</v>
      </c>
      <c r="E985" s="748">
        <v>6.6242713301536832E-3</v>
      </c>
      <c r="F985" s="748">
        <v>7.7244930801416154E-3</v>
      </c>
      <c r="G985" s="748">
        <v>9.9009900990099011E-3</v>
      </c>
      <c r="H985" s="748">
        <v>1.1111111111111112E-2</v>
      </c>
      <c r="I985" s="748">
        <v>4.3731778425655978E-3</v>
      </c>
      <c r="J985" s="748">
        <v>7.2254335260115606E-3</v>
      </c>
      <c r="K985" s="748">
        <v>0</v>
      </c>
      <c r="L985" s="852"/>
      <c r="M985" s="852"/>
      <c r="N985" s="852"/>
      <c r="O985" s="852"/>
      <c r="P985" s="852"/>
      <c r="Q985" s="853"/>
      <c r="R985" s="882"/>
    </row>
    <row r="986" spans="1:18" s="854" customFormat="1" ht="16.350000000000001" customHeight="1" outlineLevel="1">
      <c r="A986" s="344"/>
      <c r="B986" s="751" t="s">
        <v>773</v>
      </c>
      <c r="C986" s="852"/>
      <c r="D986" s="748">
        <v>0.13584905660377358</v>
      </c>
      <c r="E986" s="748">
        <v>0.13169051404345522</v>
      </c>
      <c r="F986" s="748">
        <v>0.1326037978757644</v>
      </c>
      <c r="G986" s="748">
        <v>0.11975483262611976</v>
      </c>
      <c r="H986" s="748">
        <v>0.11574074074074074</v>
      </c>
      <c r="I986" s="748">
        <v>0.119533527696793</v>
      </c>
      <c r="J986" s="748">
        <v>0.14017341040462428</v>
      </c>
      <c r="K986" s="748">
        <v>0.11904761904761904</v>
      </c>
      <c r="L986" s="852"/>
      <c r="M986" s="852"/>
      <c r="N986" s="852"/>
      <c r="O986" s="852"/>
      <c r="P986" s="852"/>
      <c r="Q986" s="853"/>
      <c r="R986" s="882"/>
    </row>
    <row r="987" spans="1:18" s="854" customFormat="1" ht="16.350000000000001" customHeight="1" outlineLevel="1">
      <c r="A987" s="344"/>
      <c r="B987" s="751" t="s">
        <v>774</v>
      </c>
      <c r="C987" s="852"/>
      <c r="D987" s="748">
        <v>0.10521642619311876</v>
      </c>
      <c r="E987" s="748">
        <v>0.11155272919978802</v>
      </c>
      <c r="F987" s="748">
        <v>0.1126488574187319</v>
      </c>
      <c r="G987" s="748">
        <v>0.1107967939651108</v>
      </c>
      <c r="H987" s="748">
        <v>0.10648148148148148</v>
      </c>
      <c r="I987" s="748">
        <v>0.10641399416909621</v>
      </c>
      <c r="J987" s="748">
        <v>0.11127167630057803</v>
      </c>
      <c r="K987" s="748">
        <v>0.14285714285714285</v>
      </c>
      <c r="L987" s="852"/>
      <c r="M987" s="852"/>
      <c r="N987" s="852"/>
      <c r="O987" s="852"/>
      <c r="P987" s="852"/>
      <c r="Q987" s="853"/>
      <c r="R987" s="882"/>
    </row>
    <row r="988" spans="1:18" s="854" customFormat="1" ht="16.350000000000001" customHeight="1" outlineLevel="1">
      <c r="A988" s="344"/>
      <c r="B988" s="751" t="s">
        <v>775</v>
      </c>
      <c r="C988" s="852"/>
      <c r="D988" s="748">
        <v>0.14317425083240842</v>
      </c>
      <c r="E988" s="748">
        <v>0.1518282988871224</v>
      </c>
      <c r="F988" s="748">
        <v>0.15094946894110073</v>
      </c>
      <c r="G988" s="748">
        <v>0.15087223008015088</v>
      </c>
      <c r="H988" s="748">
        <v>0.15462962962962962</v>
      </c>
      <c r="I988" s="748">
        <v>0.18367346938775511</v>
      </c>
      <c r="J988" s="748">
        <v>0.18352601156069365</v>
      </c>
      <c r="K988" s="748">
        <v>0.22857142857142856</v>
      </c>
      <c r="L988" s="852"/>
      <c r="M988" s="852"/>
      <c r="N988" s="852"/>
      <c r="O988" s="852"/>
      <c r="P988" s="852"/>
      <c r="Q988" s="853"/>
      <c r="R988" s="882"/>
    </row>
    <row r="989" spans="1:18" s="854" customFormat="1" ht="16.350000000000001" customHeight="1" outlineLevel="1">
      <c r="A989" s="344"/>
      <c r="B989" s="751" t="s">
        <v>776</v>
      </c>
      <c r="C989" s="852"/>
      <c r="D989" s="748">
        <v>0.10432852386237514</v>
      </c>
      <c r="E989" s="748">
        <v>0.10201377848436671</v>
      </c>
      <c r="F989" s="748">
        <v>9.9774702285162539E-2</v>
      </c>
      <c r="G989" s="748">
        <v>9.8538425271098545E-2</v>
      </c>
      <c r="H989" s="748">
        <v>0.10462962962962963</v>
      </c>
      <c r="I989" s="748">
        <v>0.10932944606413994</v>
      </c>
      <c r="J989" s="748">
        <v>0.12283236994219653</v>
      </c>
      <c r="K989" s="748">
        <v>8.5714285714285715E-2</v>
      </c>
      <c r="L989" s="852"/>
      <c r="M989" s="852"/>
      <c r="N989" s="852"/>
      <c r="O989" s="852"/>
      <c r="P989" s="852"/>
      <c r="Q989" s="853"/>
      <c r="R989" s="882"/>
    </row>
    <row r="990" spans="1:18" s="854" customFormat="1" ht="16.350000000000001" customHeight="1" outlineLevel="1">
      <c r="A990" s="344"/>
      <c r="B990" s="751" t="s">
        <v>777</v>
      </c>
      <c r="C990" s="852"/>
      <c r="D990" s="748">
        <v>0.10366259711431743</v>
      </c>
      <c r="E990" s="748">
        <v>0.10678325384207737</v>
      </c>
      <c r="F990" s="748">
        <v>0.11297071129707113</v>
      </c>
      <c r="G990" s="748">
        <v>0.11362564827911363</v>
      </c>
      <c r="H990" s="748">
        <v>0.12037037037037036</v>
      </c>
      <c r="I990" s="748">
        <v>0.13119533527696792</v>
      </c>
      <c r="J990" s="748">
        <v>0.1416184971098266</v>
      </c>
      <c r="K990" s="748">
        <v>0.13333333333333333</v>
      </c>
      <c r="L990" s="852"/>
      <c r="M990" s="852"/>
      <c r="N990" s="852"/>
      <c r="O990" s="852"/>
      <c r="P990" s="852"/>
      <c r="Q990" s="853"/>
      <c r="R990" s="882"/>
    </row>
    <row r="991" spans="1:18" s="854" customFormat="1" ht="16.350000000000001" customHeight="1" outlineLevel="1">
      <c r="A991" s="344"/>
      <c r="B991" s="751" t="s">
        <v>778</v>
      </c>
      <c r="C991" s="852"/>
      <c r="D991" s="748">
        <v>0.40776914539400666</v>
      </c>
      <c r="E991" s="748">
        <v>0.39613142554319025</v>
      </c>
      <c r="F991" s="748">
        <v>0.39105246218216927</v>
      </c>
      <c r="G991" s="748">
        <v>0.40641206977840644</v>
      </c>
      <c r="H991" s="748">
        <v>0.39814814814814814</v>
      </c>
      <c r="I991" s="748">
        <v>0.3498542274052478</v>
      </c>
      <c r="J991" s="748">
        <v>0.30057803468208094</v>
      </c>
      <c r="K991" s="748">
        <v>0.2904761904761905</v>
      </c>
      <c r="L991" s="852"/>
      <c r="M991" s="852"/>
      <c r="N991" s="852"/>
      <c r="O991" s="852"/>
      <c r="P991" s="852"/>
      <c r="Q991" s="853"/>
      <c r="R991" s="882"/>
    </row>
    <row r="992" spans="1:18" s="256" customFormat="1" ht="16.350000000000001" customHeight="1" outlineLevel="1">
      <c r="A992" s="344"/>
      <c r="B992" s="752"/>
      <c r="C992" s="731"/>
      <c r="D992" s="731"/>
      <c r="E992" s="731"/>
      <c r="F992" s="731"/>
      <c r="G992" s="731"/>
      <c r="H992" s="731"/>
      <c r="I992" s="731"/>
      <c r="J992" s="731"/>
      <c r="K992" s="731"/>
      <c r="L992" s="731"/>
      <c r="M992" s="732"/>
      <c r="N992" s="732"/>
      <c r="O992" s="732"/>
      <c r="P992" s="732"/>
      <c r="Q992" s="733"/>
      <c r="R992" s="882"/>
    </row>
    <row r="993" spans="1:18" s="857" customFormat="1" ht="16.350000000000001" customHeight="1" outlineLevel="1">
      <c r="A993" s="339"/>
      <c r="B993" s="855" t="s">
        <v>755</v>
      </c>
      <c r="C993" s="856"/>
      <c r="D993" s="856">
        <f>ROUND(284583442,-3)</f>
        <v>284583000</v>
      </c>
      <c r="E993" s="856">
        <v>253590000</v>
      </c>
      <c r="F993" s="856">
        <v>207930000</v>
      </c>
      <c r="G993" s="856">
        <v>139510000</v>
      </c>
      <c r="H993" s="856">
        <v>78450000</v>
      </c>
      <c r="I993" s="856">
        <v>48520000</v>
      </c>
      <c r="J993" s="856">
        <v>23250000</v>
      </c>
      <c r="K993" s="856">
        <v>3980000</v>
      </c>
      <c r="L993" s="856">
        <v>1000</v>
      </c>
      <c r="M993" s="824"/>
      <c r="N993" s="824"/>
      <c r="O993" s="824"/>
      <c r="P993" s="824"/>
      <c r="Q993" s="927"/>
      <c r="R993" s="255"/>
    </row>
    <row r="994" spans="1:18" s="757" customFormat="1" ht="16.350000000000001" customHeight="1" outlineLevel="1">
      <c r="A994" s="339"/>
      <c r="B994" s="754" t="s">
        <v>738</v>
      </c>
      <c r="C994" s="622"/>
      <c r="D994" s="858">
        <v>9.4899999999999998E-2</v>
      </c>
      <c r="E994" s="858">
        <v>0.34320000000000001</v>
      </c>
      <c r="F994" s="858">
        <v>0.6865</v>
      </c>
      <c r="G994" s="858">
        <v>0.72309999999999997</v>
      </c>
      <c r="H994" s="858">
        <v>0.55230000000000001</v>
      </c>
      <c r="I994" s="858" t="s">
        <v>100</v>
      </c>
      <c r="J994" s="858" t="s">
        <v>100</v>
      </c>
      <c r="K994" s="756"/>
      <c r="L994" s="756"/>
      <c r="M994" s="623"/>
      <c r="N994" s="623"/>
      <c r="O994" s="623"/>
      <c r="P994" s="623"/>
      <c r="Q994" s="759"/>
      <c r="R994" s="255"/>
    </row>
    <row r="995" spans="1:18" s="757" customFormat="1" ht="16.350000000000001" customHeight="1" outlineLevel="1">
      <c r="A995" s="339"/>
      <c r="B995" s="754" t="s">
        <v>739</v>
      </c>
      <c r="C995" s="622"/>
      <c r="D995" s="858">
        <v>0.11854861765294017</v>
      </c>
      <c r="E995" s="858">
        <v>0.29580000000000001</v>
      </c>
      <c r="F995" s="858">
        <v>0.53180000000000005</v>
      </c>
      <c r="G995" s="858">
        <v>0.82330000000000003</v>
      </c>
      <c r="H995" s="858">
        <v>0.53259999999999996</v>
      </c>
      <c r="I995" s="858" t="s">
        <v>100</v>
      </c>
      <c r="J995" s="858" t="s">
        <v>100</v>
      </c>
      <c r="K995" s="756"/>
      <c r="L995" s="756"/>
      <c r="M995" s="623"/>
      <c r="N995" s="623"/>
      <c r="O995" s="623"/>
      <c r="P995" s="623"/>
      <c r="Q995" s="759"/>
      <c r="R995" s="255"/>
    </row>
    <row r="996" spans="1:18" s="757" customFormat="1" ht="16.350000000000001" customHeight="1" outlineLevel="1">
      <c r="A996" s="339"/>
      <c r="B996" s="754" t="s">
        <v>740</v>
      </c>
      <c r="C996" s="622"/>
      <c r="D996" s="858">
        <v>0.13152086820975295</v>
      </c>
      <c r="E996" s="858">
        <v>0.17580000000000001</v>
      </c>
      <c r="F996" s="858">
        <v>0.42149999999999999</v>
      </c>
      <c r="G996" s="858">
        <v>0.83079999999999998</v>
      </c>
      <c r="H996" s="858">
        <v>0.65239999999999998</v>
      </c>
      <c r="I996" s="858" t="s">
        <v>100</v>
      </c>
      <c r="J996" s="858" t="s">
        <v>100</v>
      </c>
      <c r="K996" s="756"/>
      <c r="L996" s="756"/>
      <c r="M996" s="623"/>
      <c r="N996" s="623"/>
      <c r="O996" s="623"/>
      <c r="P996" s="623"/>
      <c r="Q996" s="759"/>
      <c r="R996" s="255"/>
    </row>
    <row r="997" spans="1:18" s="757" customFormat="1" ht="16.350000000000001" customHeight="1" outlineLevel="1">
      <c r="A997" s="339"/>
      <c r="B997" s="754" t="s">
        <v>741</v>
      </c>
      <c r="C997" s="622"/>
      <c r="D997" s="858">
        <v>0.14109749787764014</v>
      </c>
      <c r="E997" s="858">
        <v>0.1095</v>
      </c>
      <c r="F997" s="858">
        <v>0.40389999999999998</v>
      </c>
      <c r="G997" s="858">
        <v>0.73650000000000004</v>
      </c>
      <c r="H997" s="858">
        <v>0.69179999999999997</v>
      </c>
      <c r="I997" s="858">
        <v>0.72030000000000005</v>
      </c>
      <c r="J997" s="858" t="s">
        <v>100</v>
      </c>
      <c r="K997" s="756"/>
      <c r="L997" s="756"/>
      <c r="M997" s="623"/>
      <c r="N997" s="623"/>
      <c r="O997" s="623"/>
      <c r="P997" s="623"/>
      <c r="Q997" s="759"/>
      <c r="R997" s="255"/>
    </row>
    <row r="998" spans="1:18" s="757" customFormat="1" ht="16.350000000000001" customHeight="1" outlineLevel="1">
      <c r="A998" s="339"/>
      <c r="B998" s="754"/>
      <c r="C998" s="622"/>
      <c r="D998" s="756"/>
      <c r="E998" s="756"/>
      <c r="F998" s="756"/>
      <c r="G998" s="756"/>
      <c r="H998" s="756"/>
      <c r="I998" s="756"/>
      <c r="J998" s="756"/>
      <c r="K998" s="756"/>
      <c r="L998" s="756"/>
      <c r="M998" s="623"/>
      <c r="N998" s="623"/>
      <c r="O998" s="623"/>
      <c r="P998" s="623"/>
      <c r="Q998" s="759"/>
      <c r="R998" s="255"/>
    </row>
    <row r="999" spans="1:18" s="931" customFormat="1" ht="16.350000000000001" customHeight="1" outlineLevel="1">
      <c r="A999" s="339"/>
      <c r="B999" s="638" t="s">
        <v>677</v>
      </c>
      <c r="C999" s="928"/>
      <c r="D999" s="762">
        <f>(D993-E993)/E993</f>
        <v>0.12221696439134035</v>
      </c>
      <c r="E999" s="762">
        <f>(E993-F993)/F993</f>
        <v>0.21959313230414082</v>
      </c>
      <c r="F999" s="762">
        <f>(F993-G993)/G993</f>
        <v>0.49043079349150598</v>
      </c>
      <c r="G999" s="762">
        <v>0.7782</v>
      </c>
      <c r="H999" s="762">
        <v>0.61680000000000001</v>
      </c>
      <c r="I999" s="762">
        <v>1.087</v>
      </c>
      <c r="J999" s="858" t="s">
        <v>100</v>
      </c>
      <c r="K999" s="858" t="s">
        <v>100</v>
      </c>
      <c r="L999" s="762"/>
      <c r="M999" s="762"/>
      <c r="N999" s="929"/>
      <c r="O999" s="929"/>
      <c r="P999" s="929"/>
      <c r="Q999" s="930"/>
      <c r="R999" s="255"/>
    </row>
    <row r="1000" spans="1:18" s="931" customFormat="1" ht="16.350000000000001" customHeight="1" outlineLevel="1">
      <c r="A1000" s="339"/>
      <c r="B1000" s="638" t="s">
        <v>721</v>
      </c>
      <c r="C1000" s="928"/>
      <c r="D1000" s="762">
        <f t="shared" ref="D1000:L1000" si="131">D993/D1085</f>
        <v>6.5122772684147581E-2</v>
      </c>
      <c r="E1000" s="762">
        <f t="shared" si="131"/>
        <v>6.2762034401682959E-2</v>
      </c>
      <c r="F1000" s="762">
        <f t="shared" si="131"/>
        <v>5.4472863119673684E-2</v>
      </c>
      <c r="G1000" s="762">
        <f t="shared" si="131"/>
        <v>4.131352795200275E-2</v>
      </c>
      <c r="H1000" s="762">
        <f t="shared" si="131"/>
        <v>2.6646332350583536E-2</v>
      </c>
      <c r="I1000" s="762">
        <f t="shared" si="131"/>
        <v>1.9683170726760107E-2</v>
      </c>
      <c r="J1000" s="762">
        <f t="shared" si="131"/>
        <v>1.1433882651480503E-2</v>
      </c>
      <c r="K1000" s="762">
        <f t="shared" si="131"/>
        <v>2.4202915295877597E-3</v>
      </c>
      <c r="L1000" s="762">
        <f t="shared" si="131"/>
        <v>7.6810224977148958E-7</v>
      </c>
      <c r="M1000" s="929"/>
      <c r="N1000" s="929"/>
      <c r="O1000" s="929"/>
      <c r="P1000" s="929"/>
      <c r="Q1000" s="930"/>
      <c r="R1000" s="255"/>
    </row>
    <row r="1001" spans="1:18" s="773" customFormat="1" ht="16.350000000000001" customHeight="1" outlineLevel="1">
      <c r="A1001" s="339"/>
      <c r="B1001" s="769" t="s">
        <v>722</v>
      </c>
      <c r="C1001" s="770"/>
      <c r="D1001" s="861">
        <f>(D993/AVERAGE(D949:E949))/365</f>
        <v>0.81908136092194461</v>
      </c>
      <c r="E1001" s="861">
        <f>(E993/AVERAGE(E949:F949))/365</f>
        <v>0.87662798110854434</v>
      </c>
      <c r="F1001" s="861">
        <f>(F993/AVERAGE(F949:G949))/366</f>
        <v>0.9439631033137722</v>
      </c>
      <c r="G1001" s="861">
        <f>(G993/AVERAGE(G949:H949))/365</f>
        <v>1.0414549613280248</v>
      </c>
      <c r="H1001" s="861">
        <f>(H993/AVERAGE(H949:I949))/365</f>
        <v>1.0428252922021062</v>
      </c>
      <c r="I1001" s="861">
        <f>(I993/AVERAGE(I949:J949))/365</f>
        <v>0.82343671972815735</v>
      </c>
      <c r="J1001" s="861">
        <f>(J993/AVERAGE(J949:K949))/366</f>
        <v>0.60522665933626552</v>
      </c>
      <c r="K1001" s="861">
        <f>(K993/AVERAGE(K949:L949))/365</f>
        <v>0.43151267690461215</v>
      </c>
      <c r="L1001" s="932"/>
      <c r="M1001" s="770"/>
      <c r="N1001" s="770"/>
      <c r="O1001" s="770"/>
      <c r="P1001" s="770"/>
      <c r="Q1001" s="772"/>
      <c r="R1001" s="255"/>
    </row>
    <row r="1002" spans="1:18" s="933" customFormat="1" ht="16.350000000000001" customHeight="1" outlineLevel="1">
      <c r="A1002" s="339"/>
      <c r="B1002" s="774" t="s">
        <v>723</v>
      </c>
      <c r="C1002" s="775"/>
      <c r="D1002" s="775">
        <f>D955/D993</f>
        <v>321.7461865255479</v>
      </c>
      <c r="E1002" s="775">
        <f>E955/E993</f>
        <v>310.68184865333808</v>
      </c>
      <c r="F1002" s="775">
        <f t="shared" ref="F1002:K1002" si="132">F955/F993</f>
        <v>309.9573414129755</v>
      </c>
      <c r="G1002" s="775">
        <f t="shared" si="132"/>
        <v>287.59271736793062</v>
      </c>
      <c r="H1002" s="775">
        <f t="shared" si="132"/>
        <v>251.8378585086042</v>
      </c>
      <c r="I1002" s="775">
        <f t="shared" si="132"/>
        <v>244.71042868920034</v>
      </c>
      <c r="J1002" s="775">
        <f t="shared" si="132"/>
        <v>246.55956989247312</v>
      </c>
      <c r="K1002" s="775">
        <f t="shared" si="132"/>
        <v>224.32663316582915</v>
      </c>
      <c r="L1002" s="775"/>
      <c r="M1002" s="775"/>
      <c r="N1002" s="775"/>
      <c r="O1002" s="775"/>
      <c r="P1002" s="775"/>
      <c r="Q1002" s="777"/>
      <c r="R1002" s="255"/>
    </row>
    <row r="1003" spans="1:18" s="781" customFormat="1" ht="16.350000000000001" customHeight="1" outlineLevel="1">
      <c r="A1003" s="339"/>
      <c r="B1003" s="779"/>
      <c r="C1003" s="617"/>
      <c r="D1003" s="617"/>
      <c r="E1003" s="617"/>
      <c r="F1003" s="617"/>
      <c r="G1003" s="617"/>
      <c r="H1003" s="617"/>
      <c r="I1003" s="617"/>
      <c r="J1003" s="617"/>
      <c r="K1003" s="617"/>
      <c r="L1003" s="617"/>
      <c r="M1003" s="623"/>
      <c r="N1003" s="623"/>
      <c r="O1003" s="623"/>
      <c r="P1003" s="623"/>
      <c r="Q1003" s="780"/>
      <c r="R1003" s="255"/>
    </row>
    <row r="1004" spans="1:18" s="357" customFormat="1" ht="16.350000000000001" customHeight="1" outlineLevel="1">
      <c r="A1004" s="344"/>
      <c r="B1004" s="782" t="s">
        <v>779</v>
      </c>
      <c r="C1004" s="715"/>
      <c r="D1004" s="715">
        <v>8609.5467359854938</v>
      </c>
      <c r="E1004" s="715">
        <v>8173</v>
      </c>
      <c r="F1004" s="715">
        <v>7981</v>
      </c>
      <c r="G1004" s="715">
        <v>7891</v>
      </c>
      <c r="H1004" s="715">
        <v>8335</v>
      </c>
      <c r="I1004" s="715">
        <v>8750</v>
      </c>
      <c r="J1004" s="715">
        <v>6624</v>
      </c>
      <c r="K1004" s="715">
        <v>6351</v>
      </c>
      <c r="L1004" s="715"/>
      <c r="M1004" s="715"/>
      <c r="N1004" s="715"/>
      <c r="O1004" s="715"/>
      <c r="P1004" s="715"/>
      <c r="Q1004" s="715"/>
      <c r="R1004" s="882"/>
    </row>
    <row r="1005" spans="1:18" s="750" customFormat="1" ht="16.350000000000001" customHeight="1" outlineLevel="1">
      <c r="A1005" s="344"/>
      <c r="B1005" s="866" t="s">
        <v>757</v>
      </c>
      <c r="C1005" s="934"/>
      <c r="D1005" s="935">
        <v>0</v>
      </c>
      <c r="E1005" s="935">
        <v>2.6806255517864211E-3</v>
      </c>
      <c r="F1005" s="935">
        <v>0</v>
      </c>
      <c r="G1005" s="935">
        <v>0</v>
      </c>
      <c r="H1005" s="936">
        <v>0</v>
      </c>
      <c r="I1005" s="936">
        <v>0</v>
      </c>
      <c r="J1005" s="936">
        <v>0</v>
      </c>
      <c r="K1005" s="936">
        <v>0</v>
      </c>
      <c r="L1005" s="936">
        <v>0</v>
      </c>
      <c r="M1005" s="937"/>
      <c r="N1005" s="937"/>
      <c r="O1005" s="937"/>
      <c r="P1005" s="937"/>
      <c r="Q1005" s="937"/>
      <c r="R1005" s="882"/>
    </row>
    <row r="1006" spans="1:18" s="750" customFormat="1" ht="16.350000000000001" customHeight="1" outlineLevel="1">
      <c r="A1006" s="344"/>
      <c r="B1006" s="866" t="s">
        <v>758</v>
      </c>
      <c r="C1006" s="934"/>
      <c r="D1006" s="935">
        <v>1</v>
      </c>
      <c r="E1006" s="935">
        <v>0.99731937444821361</v>
      </c>
      <c r="F1006" s="935">
        <v>1</v>
      </c>
      <c r="G1006" s="935">
        <v>1</v>
      </c>
      <c r="H1006" s="935">
        <v>1</v>
      </c>
      <c r="I1006" s="935">
        <v>1</v>
      </c>
      <c r="J1006" s="935">
        <v>1</v>
      </c>
      <c r="K1006" s="935">
        <v>1</v>
      </c>
      <c r="L1006" s="935">
        <v>1</v>
      </c>
      <c r="M1006" s="937"/>
      <c r="N1006" s="937"/>
      <c r="O1006" s="937"/>
      <c r="P1006" s="937"/>
      <c r="Q1006" s="937"/>
      <c r="R1006" s="882"/>
    </row>
    <row r="1007" spans="1:18" s="750" customFormat="1" ht="16.350000000000001" customHeight="1" outlineLevel="1">
      <c r="A1007" s="344"/>
      <c r="B1007" s="866" t="s">
        <v>759</v>
      </c>
      <c r="C1007" s="934"/>
      <c r="D1007" s="935">
        <v>8.7041993500658096E-2</v>
      </c>
      <c r="E1007" s="935">
        <v>7.1869236125066724E-2</v>
      </c>
      <c r="F1007" s="935">
        <v>7.2801301214506481E-2</v>
      </c>
      <c r="G1007" s="935">
        <v>7.4999999999999997E-2</v>
      </c>
      <c r="H1007" s="936">
        <v>4.3299999999999998E-2</v>
      </c>
      <c r="I1007" s="936">
        <v>3.8600000000000002E-2</v>
      </c>
      <c r="J1007" s="936">
        <v>2.5000000000000001E-2</v>
      </c>
      <c r="K1007" s="936">
        <v>3.3099999999999997E-2</v>
      </c>
      <c r="L1007" s="936">
        <v>0</v>
      </c>
      <c r="M1007" s="937"/>
      <c r="N1007" s="937"/>
      <c r="O1007" s="937"/>
      <c r="P1007" s="937"/>
      <c r="Q1007" s="937"/>
      <c r="R1007" s="882"/>
    </row>
    <row r="1008" spans="1:18" s="870" customFormat="1" ht="16.350000000000001" customHeight="1" outlineLevel="1">
      <c r="A1008" s="938"/>
      <c r="B1008" s="939"/>
      <c r="C1008" s="940"/>
      <c r="D1008" s="940"/>
      <c r="E1008" s="940"/>
      <c r="F1008" s="940"/>
      <c r="G1008" s="940"/>
      <c r="H1008" s="940"/>
      <c r="I1008" s="940"/>
      <c r="J1008" s="940"/>
      <c r="K1008" s="940"/>
      <c r="L1008" s="940"/>
      <c r="M1008" s="940"/>
      <c r="N1008" s="940"/>
      <c r="O1008" s="940"/>
      <c r="P1008" s="940"/>
      <c r="Q1008" s="941"/>
      <c r="R1008" s="942"/>
    </row>
    <row r="1009" spans="1:18" s="799" customFormat="1" ht="19.350000000000001" customHeight="1">
      <c r="A1009" s="1548" t="s">
        <v>780</v>
      </c>
      <c r="B1009" s="1549"/>
      <c r="C1009" s="943"/>
      <c r="D1009" s="944"/>
      <c r="E1009" s="944"/>
      <c r="F1009" s="944"/>
      <c r="G1009" s="944"/>
      <c r="H1009" s="945"/>
      <c r="I1009" s="945"/>
      <c r="J1009" s="945"/>
      <c r="K1009" s="945"/>
      <c r="L1009" s="945"/>
      <c r="M1009" s="945"/>
      <c r="N1009" s="945"/>
      <c r="O1009" s="945"/>
      <c r="P1009" s="945"/>
      <c r="Q1009" s="945"/>
      <c r="R1009" s="946"/>
    </row>
    <row r="1010" spans="1:18" s="953" customFormat="1" ht="16.350000000000001" customHeight="1" outlineLevel="1">
      <c r="A1010" s="947"/>
      <c r="B1010" s="568" t="s">
        <v>781</v>
      </c>
      <c r="C1010" s="948"/>
      <c r="D1010" s="949">
        <v>-2.4545959341301275E-2</v>
      </c>
      <c r="E1010" s="949">
        <v>-3.3700000000000001E-2</v>
      </c>
      <c r="F1010" s="949">
        <v>-2.5999999999999999E-3</v>
      </c>
      <c r="G1010" s="949">
        <v>6.2100000000000002E-2</v>
      </c>
      <c r="H1010" s="949">
        <v>0.1447</v>
      </c>
      <c r="I1010" s="949">
        <v>7.4700000000000003E-2</v>
      </c>
      <c r="J1010" s="949">
        <v>5.2600000000000001E-2</v>
      </c>
      <c r="K1010" s="949">
        <v>0.1109</v>
      </c>
      <c r="L1010" s="950">
        <v>9.1899999999999996E-2</v>
      </c>
      <c r="M1010" s="950">
        <v>4.1399999999999999E-2</v>
      </c>
      <c r="N1010" s="950">
        <v>0.18840000000000001</v>
      </c>
      <c r="O1010" s="950">
        <v>0.1391</v>
      </c>
      <c r="P1010" s="950">
        <v>0.13189999999999999</v>
      </c>
      <c r="Q1010" s="951"/>
      <c r="R1010" s="952"/>
    </row>
    <row r="1011" spans="1:18" s="602" customFormat="1" ht="16.350000000000001" customHeight="1" outlineLevel="1">
      <c r="A1011" s="947"/>
      <c r="B1011" s="575" t="s">
        <v>782</v>
      </c>
      <c r="C1011" s="954"/>
      <c r="D1011" s="955">
        <v>1.0672373811761839E-3</v>
      </c>
      <c r="E1011" s="955">
        <v>-2.0999999999999999E-3</v>
      </c>
      <c r="F1011" s="955">
        <v>-8.9999999999999993E-3</v>
      </c>
      <c r="G1011" s="956">
        <v>7.2300000000000003E-2</v>
      </c>
      <c r="H1011" s="956">
        <v>9.5799999999999996E-2</v>
      </c>
      <c r="I1011" s="956">
        <v>5.8900000000000001E-2</v>
      </c>
      <c r="J1011" s="956">
        <v>5.6300000000000003E-2</v>
      </c>
      <c r="K1011" s="956">
        <v>9.6699999999999994E-2</v>
      </c>
      <c r="L1011" s="957">
        <v>5.9700000000000003E-2</v>
      </c>
      <c r="M1011" s="957">
        <v>5.7500000000000002E-2</v>
      </c>
      <c r="N1011" s="957">
        <v>0.21659999999999999</v>
      </c>
      <c r="O1011" s="957">
        <v>0.1484</v>
      </c>
      <c r="P1011" s="957">
        <v>0.1011</v>
      </c>
      <c r="Q1011" s="600"/>
      <c r="R1011" s="958"/>
    </row>
    <row r="1012" spans="1:18" s="602" customFormat="1" ht="16.350000000000001" customHeight="1" outlineLevel="1">
      <c r="A1012" s="947"/>
      <c r="B1012" s="575" t="s">
        <v>783</v>
      </c>
      <c r="C1012" s="954"/>
      <c r="D1012" s="955">
        <v>-2.5585890503702014E-2</v>
      </c>
      <c r="E1012" s="955">
        <v>-3.1699999999999999E-2</v>
      </c>
      <c r="F1012" s="955">
        <v>6.4999999999999997E-3</v>
      </c>
      <c r="G1012" s="955">
        <v>-9.5999999999999992E-3</v>
      </c>
      <c r="H1012" s="956">
        <v>4.4699999999999997E-2</v>
      </c>
      <c r="I1012" s="956">
        <v>1.4999999999999999E-2</v>
      </c>
      <c r="J1012" s="956">
        <v>-3.5000000000000001E-3</v>
      </c>
      <c r="K1012" s="956">
        <v>1.29E-2</v>
      </c>
      <c r="L1012" s="957">
        <v>3.0300000000000001E-2</v>
      </c>
      <c r="M1012" s="957">
        <v>-1.52E-2</v>
      </c>
      <c r="N1012" s="957">
        <v>-2.3199999999999998E-2</v>
      </c>
      <c r="O1012" s="957">
        <v>-7.7999999999999996E-3</v>
      </c>
      <c r="P1012" s="957">
        <v>2.8000000000000001E-2</v>
      </c>
      <c r="Q1012" s="600"/>
      <c r="R1012" s="958"/>
    </row>
    <row r="1013" spans="1:18" s="870" customFormat="1" ht="16.350000000000001" customHeight="1" outlineLevel="1">
      <c r="A1013" s="947"/>
      <c r="B1013" s="581" t="s">
        <v>784</v>
      </c>
      <c r="C1013" s="582"/>
      <c r="D1013" s="582"/>
      <c r="E1013" s="582">
        <v>10945</v>
      </c>
      <c r="F1013" s="582">
        <v>10918</v>
      </c>
      <c r="G1013" s="582">
        <v>8452</v>
      </c>
      <c r="H1013" s="582">
        <v>6699</v>
      </c>
      <c r="I1013" s="582">
        <v>5406</v>
      </c>
      <c r="J1013" s="582">
        <f>2465+25</f>
        <v>2490</v>
      </c>
      <c r="K1013" s="582">
        <f>1956+14</f>
        <v>1970</v>
      </c>
      <c r="L1013" s="582">
        <v>2032</v>
      </c>
      <c r="M1013" s="582">
        <v>1739</v>
      </c>
      <c r="N1013" s="582">
        <v>1375</v>
      </c>
      <c r="O1013" s="582">
        <v>1021</v>
      </c>
      <c r="P1013" s="582">
        <v>633</v>
      </c>
      <c r="Q1013" s="582"/>
      <c r="R1013" s="959"/>
    </row>
    <row r="1014" spans="1:18" s="750" customFormat="1" ht="16.350000000000001" customHeight="1" outlineLevel="1">
      <c r="A1014" s="947"/>
      <c r="B1014" s="586"/>
      <c r="C1014" s="960"/>
      <c r="D1014" s="961"/>
      <c r="E1014" s="961"/>
      <c r="F1014" s="961"/>
      <c r="G1014" s="961"/>
      <c r="H1014" s="960"/>
      <c r="I1014" s="960"/>
      <c r="J1014" s="960"/>
      <c r="K1014" s="960"/>
      <c r="L1014" s="960"/>
      <c r="M1014" s="960"/>
      <c r="N1014" s="960"/>
      <c r="O1014" s="960"/>
      <c r="P1014" s="960"/>
      <c r="Q1014" s="960"/>
      <c r="R1014" s="380"/>
    </row>
    <row r="1015" spans="1:18" s="953" customFormat="1" ht="16.350000000000001" customHeight="1" outlineLevel="1">
      <c r="A1015" s="947"/>
      <c r="B1015" s="591" t="s">
        <v>785</v>
      </c>
      <c r="C1015" s="948"/>
      <c r="D1015" s="949">
        <v>5.6517394424904187E-3</v>
      </c>
      <c r="E1015" s="949">
        <v>-4.1700000000000001E-2</v>
      </c>
      <c r="F1015" s="949">
        <v>-1.2999999999999999E-2</v>
      </c>
      <c r="G1015" s="949">
        <v>-6.9999999999999999E-4</v>
      </c>
      <c r="H1015" s="962">
        <v>0.17280000000000001</v>
      </c>
      <c r="I1015" s="962">
        <v>4.8500000000000001E-2</v>
      </c>
      <c r="J1015" s="962">
        <v>8.5000000000000006E-2</v>
      </c>
      <c r="K1015" s="962">
        <v>3.1199999999999999E-2</v>
      </c>
      <c r="L1015" s="963">
        <v>0.18190000000000001</v>
      </c>
      <c r="M1015" s="963">
        <v>-2.3800000000000002E-2</v>
      </c>
      <c r="N1015" s="963">
        <v>0.14549999999999999</v>
      </c>
      <c r="O1015" s="964"/>
      <c r="P1015" s="964"/>
      <c r="Q1015" s="964"/>
      <c r="R1015" s="952"/>
    </row>
    <row r="1016" spans="1:18" s="969" customFormat="1" ht="16.350000000000001" customHeight="1" outlineLevel="2">
      <c r="A1016" s="947"/>
      <c r="B1016" s="593" t="s">
        <v>786</v>
      </c>
      <c r="C1016" s="965"/>
      <c r="D1016" s="966">
        <v>3.71179714506625E-2</v>
      </c>
      <c r="E1016" s="966">
        <v>-1.95E-2</v>
      </c>
      <c r="F1016" s="966">
        <v>5.5999999999999999E-3</v>
      </c>
      <c r="G1016" s="966">
        <v>2.07E-2</v>
      </c>
      <c r="H1016" s="810">
        <v>0.1241</v>
      </c>
      <c r="I1016" s="810">
        <v>4.5100000000000001E-2</v>
      </c>
      <c r="J1016" s="810">
        <v>7.8299999999999995E-2</v>
      </c>
      <c r="K1016" s="810">
        <v>5.1400000000000001E-2</v>
      </c>
      <c r="L1016" s="811">
        <v>0.11940000000000001</v>
      </c>
      <c r="M1016" s="811">
        <v>-1.9E-2</v>
      </c>
      <c r="N1016" s="811">
        <v>0.193</v>
      </c>
      <c r="O1016" s="967"/>
      <c r="P1016" s="967"/>
      <c r="Q1016" s="967"/>
      <c r="R1016" s="968"/>
    </row>
    <row r="1017" spans="1:18" s="969" customFormat="1" ht="16.350000000000001" customHeight="1" outlineLevel="2">
      <c r="A1017" s="947"/>
      <c r="B1017" s="593" t="s">
        <v>787</v>
      </c>
      <c r="C1017" s="878"/>
      <c r="D1017" s="879">
        <v>-3.0340070150513716E-2</v>
      </c>
      <c r="E1017" s="879">
        <v>-2.2700000000000001E-2</v>
      </c>
      <c r="F1017" s="879">
        <v>-1.84E-2</v>
      </c>
      <c r="G1017" s="879">
        <v>-2.0899999999999998E-2</v>
      </c>
      <c r="H1017" s="810">
        <v>4.3299999999999998E-2</v>
      </c>
      <c r="I1017" s="810">
        <v>3.3E-3</v>
      </c>
      <c r="J1017" s="810">
        <v>6.1999999999999998E-3</v>
      </c>
      <c r="K1017" s="810">
        <v>-1.9300000000000001E-2</v>
      </c>
      <c r="L1017" s="811">
        <v>5.5800000000000002E-2</v>
      </c>
      <c r="M1017" s="811">
        <v>-4.8999999999999998E-3</v>
      </c>
      <c r="N1017" s="811">
        <v>1.6999999999999999E-3</v>
      </c>
      <c r="O1017" s="967"/>
      <c r="P1017" s="967"/>
      <c r="Q1017" s="967"/>
      <c r="R1017" s="968"/>
    </row>
    <row r="1018" spans="1:18" s="750" customFormat="1" ht="16.350000000000001" customHeight="1" outlineLevel="2">
      <c r="A1018" s="947"/>
      <c r="B1018" s="596" t="s">
        <v>788</v>
      </c>
      <c r="C1018" s="961"/>
      <c r="D1018" s="961"/>
      <c r="E1018" s="961">
        <v>12657</v>
      </c>
      <c r="F1018" s="961">
        <v>11334</v>
      </c>
      <c r="G1018" s="961">
        <v>9029</v>
      </c>
      <c r="H1018" s="961">
        <v>7411</v>
      </c>
      <c r="I1018" s="961">
        <v>5995</v>
      </c>
      <c r="J1018" s="961">
        <f>3833+50</f>
        <v>3883</v>
      </c>
      <c r="K1018" s="961">
        <f>3080+24</f>
        <v>3104</v>
      </c>
      <c r="L1018" s="961">
        <v>2531</v>
      </c>
      <c r="M1018" s="961">
        <v>2112</v>
      </c>
      <c r="N1018" s="961">
        <v>1455</v>
      </c>
      <c r="O1018" s="961"/>
      <c r="P1018" s="961"/>
      <c r="Q1018" s="961"/>
      <c r="R1018" s="380"/>
    </row>
    <row r="1019" spans="1:18" s="750" customFormat="1" ht="16.350000000000001" customHeight="1" outlineLevel="2">
      <c r="A1019" s="947"/>
      <c r="B1019" s="598"/>
      <c r="C1019" s="961"/>
      <c r="D1019" s="961"/>
      <c r="E1019" s="961"/>
      <c r="F1019" s="961"/>
      <c r="G1019" s="961"/>
      <c r="H1019" s="961"/>
      <c r="I1019" s="961"/>
      <c r="J1019" s="961"/>
      <c r="K1019" s="961"/>
      <c r="L1019" s="961"/>
      <c r="M1019" s="961"/>
      <c r="N1019" s="961"/>
      <c r="O1019" s="961"/>
      <c r="P1019" s="961"/>
      <c r="Q1019" s="961"/>
      <c r="R1019" s="380"/>
    </row>
    <row r="1020" spans="1:18" s="953" customFormat="1" ht="16.350000000000001" customHeight="1" outlineLevel="1">
      <c r="A1020" s="947"/>
      <c r="B1020" s="591" t="s">
        <v>789</v>
      </c>
      <c r="C1020" s="970"/>
      <c r="D1020" s="971">
        <v>-1.9967948321798629E-2</v>
      </c>
      <c r="E1020" s="971">
        <v>-2.5000000000000001E-2</v>
      </c>
      <c r="F1020" s="971">
        <v>1.23E-2</v>
      </c>
      <c r="G1020" s="962">
        <v>3.5400000000000001E-2</v>
      </c>
      <c r="H1020" s="962">
        <v>0.1721</v>
      </c>
      <c r="I1020" s="962">
        <v>6.2899999999999998E-2</v>
      </c>
      <c r="J1020" s="962">
        <v>7.0499999999999993E-2</v>
      </c>
      <c r="K1020" s="962">
        <v>7.6399999999999996E-2</v>
      </c>
      <c r="L1020" s="963">
        <v>0.1241</v>
      </c>
      <c r="M1020" s="963">
        <v>3.5999999999999997E-2</v>
      </c>
      <c r="N1020" s="963">
        <v>0.1903</v>
      </c>
      <c r="O1020" s="963"/>
      <c r="P1020" s="964"/>
      <c r="Q1020" s="964"/>
      <c r="R1020" s="952"/>
    </row>
    <row r="1021" spans="1:18" s="969" customFormat="1" ht="16.350000000000001" customHeight="1" outlineLevel="2">
      <c r="A1021" s="947"/>
      <c r="B1021" s="593" t="s">
        <v>790</v>
      </c>
      <c r="C1021" s="878"/>
      <c r="D1021" s="879">
        <v>-2.4589841563253095E-3</v>
      </c>
      <c r="E1021" s="879">
        <v>5.9999999999999995E-4</v>
      </c>
      <c r="F1021" s="879">
        <v>-9.7999999999999997E-3</v>
      </c>
      <c r="G1021" s="810">
        <v>5.8000000000000003E-2</v>
      </c>
      <c r="H1021" s="810">
        <v>0.1013</v>
      </c>
      <c r="I1021" s="810">
        <v>6.3200000000000006E-2</v>
      </c>
      <c r="J1021" s="810">
        <v>6.2799999999999995E-2</v>
      </c>
      <c r="K1021" s="810">
        <v>9.4399999999999998E-2</v>
      </c>
      <c r="L1021" s="811">
        <v>5.8099999999999999E-2</v>
      </c>
      <c r="M1021" s="811">
        <v>4.1500000000000002E-2</v>
      </c>
      <c r="N1021" s="811">
        <v>0.2276</v>
      </c>
      <c r="O1021" s="811"/>
      <c r="P1021" s="967"/>
      <c r="Q1021" s="967"/>
      <c r="R1021" s="968"/>
    </row>
    <row r="1022" spans="1:18" s="969" customFormat="1" ht="16.350000000000001" customHeight="1" outlineLevel="2">
      <c r="A1022" s="947"/>
      <c r="B1022" s="593" t="s">
        <v>791</v>
      </c>
      <c r="C1022" s="965"/>
      <c r="D1022" s="972">
        <v>-1.7552124561679802E-2</v>
      </c>
      <c r="E1022" s="972">
        <v>-2.5600000000000001E-2</v>
      </c>
      <c r="F1022" s="972">
        <v>2.24E-2</v>
      </c>
      <c r="G1022" s="879">
        <v>-2.1399999999999999E-2</v>
      </c>
      <c r="H1022" s="810">
        <v>6.4299999999999996E-2</v>
      </c>
      <c r="I1022" s="810">
        <v>-2.9999999999999997E-4</v>
      </c>
      <c r="J1022" s="810">
        <v>7.3000000000000001E-3</v>
      </c>
      <c r="K1022" s="810">
        <v>-1.6500000000000001E-2</v>
      </c>
      <c r="L1022" s="811">
        <v>6.2399999999999997E-2</v>
      </c>
      <c r="M1022" s="811">
        <v>-5.3E-3</v>
      </c>
      <c r="N1022" s="811">
        <v>-3.0300000000000001E-2</v>
      </c>
      <c r="O1022" s="811"/>
      <c r="P1022" s="967"/>
      <c r="Q1022" s="967"/>
      <c r="R1022" s="968"/>
    </row>
    <row r="1023" spans="1:18" s="750" customFormat="1" ht="16.350000000000001" customHeight="1" outlineLevel="2">
      <c r="A1023" s="947"/>
      <c r="B1023" s="596" t="s">
        <v>792</v>
      </c>
      <c r="C1023" s="961"/>
      <c r="D1023" s="961">
        <v>13273</v>
      </c>
      <c r="E1023" s="961">
        <v>11827</v>
      </c>
      <c r="F1023" s="961">
        <v>10656</v>
      </c>
      <c r="G1023" s="961">
        <v>8402</v>
      </c>
      <c r="H1023" s="961">
        <v>6946</v>
      </c>
      <c r="I1023" s="961">
        <v>5450</v>
      </c>
      <c r="J1023" s="961">
        <f>3546+35</f>
        <v>3581</v>
      </c>
      <c r="K1023" s="961">
        <f>2825+22</f>
        <v>2847</v>
      </c>
      <c r="L1023" s="961">
        <v>2405</v>
      </c>
      <c r="M1023" s="961">
        <v>2042</v>
      </c>
      <c r="N1023" s="961">
        <v>1447</v>
      </c>
      <c r="O1023" s="973"/>
      <c r="P1023" s="961"/>
      <c r="Q1023" s="961"/>
      <c r="R1023" s="380"/>
    </row>
    <row r="1024" spans="1:18" s="750" customFormat="1" ht="16.350000000000001" customHeight="1" outlineLevel="2">
      <c r="A1024" s="947"/>
      <c r="B1024" s="598"/>
      <c r="C1024" s="961"/>
      <c r="D1024" s="961"/>
      <c r="E1024" s="961"/>
      <c r="F1024" s="961"/>
      <c r="G1024" s="961"/>
      <c r="H1024" s="961"/>
      <c r="I1024" s="961"/>
      <c r="J1024" s="961"/>
      <c r="K1024" s="961"/>
      <c r="L1024" s="961"/>
      <c r="M1024" s="961"/>
      <c r="N1024" s="961"/>
      <c r="O1024" s="973"/>
      <c r="P1024" s="961"/>
      <c r="Q1024" s="961"/>
      <c r="R1024" s="380"/>
    </row>
    <row r="1025" spans="1:19" s="953" customFormat="1" ht="16.350000000000001" customHeight="1" outlineLevel="1">
      <c r="A1025" s="947"/>
      <c r="B1025" s="591" t="s">
        <v>793</v>
      </c>
      <c r="C1025" s="948"/>
      <c r="D1025" s="949">
        <v>-5.1509922716836125E-2</v>
      </c>
      <c r="E1025" s="949">
        <v>-1.4200000000000001E-2</v>
      </c>
      <c r="F1025" s="949">
        <v>-1.41E-2</v>
      </c>
      <c r="G1025" s="962">
        <v>8.6099999999999996E-2</v>
      </c>
      <c r="H1025" s="962">
        <v>0.1343</v>
      </c>
      <c r="I1025" s="962">
        <v>9.0700000000000003E-2</v>
      </c>
      <c r="J1025" s="962">
        <v>3.1800000000000002E-2</v>
      </c>
      <c r="K1025" s="962">
        <v>0.16980000000000001</v>
      </c>
      <c r="L1025" s="963">
        <v>7.6300000000000007E-2</v>
      </c>
      <c r="M1025" s="963">
        <v>8.09E-2</v>
      </c>
      <c r="N1025" s="963">
        <v>0.18770000000000001</v>
      </c>
      <c r="O1025" s="963"/>
      <c r="P1025" s="963">
        <v>9.0999999999999998E-2</v>
      </c>
      <c r="Q1025" s="964"/>
      <c r="R1025" s="952"/>
    </row>
    <row r="1026" spans="1:19" s="969" customFormat="1" ht="16.350000000000001" customHeight="1" outlineLevel="2">
      <c r="A1026" s="947"/>
      <c r="B1026" s="593" t="s">
        <v>794</v>
      </c>
      <c r="C1026" s="878"/>
      <c r="D1026" s="879">
        <v>-3.1427049734468568E-2</v>
      </c>
      <c r="E1026" s="879">
        <v>2.1700000000000001E-2</v>
      </c>
      <c r="F1026" s="879">
        <v>-1.95E-2</v>
      </c>
      <c r="G1026" s="810">
        <v>9.2600000000000002E-2</v>
      </c>
      <c r="H1026" s="810">
        <v>9.1600000000000001E-2</v>
      </c>
      <c r="I1026" s="810">
        <v>6.6600000000000006E-2</v>
      </c>
      <c r="J1026" s="810">
        <v>4.3900000000000002E-2</v>
      </c>
      <c r="K1026" s="810">
        <v>0.1283</v>
      </c>
      <c r="L1026" s="811">
        <v>3.9199999999999999E-2</v>
      </c>
      <c r="M1026" s="811">
        <v>8.6099999999999996E-2</v>
      </c>
      <c r="N1026" s="811">
        <v>0.2387</v>
      </c>
      <c r="O1026" s="811"/>
      <c r="P1026" s="811">
        <v>6.9800000000000001E-2</v>
      </c>
      <c r="Q1026" s="967"/>
      <c r="R1026" s="968"/>
    </row>
    <row r="1027" spans="1:19" s="969" customFormat="1" ht="16.350000000000001" customHeight="1" outlineLevel="2">
      <c r="A1027" s="947"/>
      <c r="B1027" s="593" t="s">
        <v>795</v>
      </c>
      <c r="C1027" s="965"/>
      <c r="D1027" s="972">
        <v>-2.0734497052457695E-2</v>
      </c>
      <c r="E1027" s="972">
        <v>-3.5099999999999999E-2</v>
      </c>
      <c r="F1027" s="972">
        <v>5.4999999999999997E-3</v>
      </c>
      <c r="G1027" s="879">
        <v>-6.0000000000000001E-3</v>
      </c>
      <c r="H1027" s="810">
        <v>3.9100000000000003E-2</v>
      </c>
      <c r="I1027" s="810">
        <v>2.2499999999999999E-2</v>
      </c>
      <c r="J1027" s="810">
        <v>-1.1599999999999999E-2</v>
      </c>
      <c r="K1027" s="810">
        <v>3.6799999999999999E-2</v>
      </c>
      <c r="L1027" s="811">
        <v>3.56E-2</v>
      </c>
      <c r="M1027" s="811">
        <v>-4.7999999999999996E-3</v>
      </c>
      <c r="N1027" s="811">
        <v>-4.1200000000000001E-2</v>
      </c>
      <c r="O1027" s="811"/>
      <c r="P1027" s="811">
        <v>1.9900000000000001E-2</v>
      </c>
      <c r="Q1027" s="967"/>
      <c r="R1027" s="968"/>
    </row>
    <row r="1028" spans="1:19" s="750" customFormat="1" ht="16.350000000000001" customHeight="1" outlineLevel="2">
      <c r="A1028" s="947"/>
      <c r="B1028" s="596" t="s">
        <v>796</v>
      </c>
      <c r="C1028" s="961"/>
      <c r="D1028" s="961">
        <v>13006</v>
      </c>
      <c r="E1028" s="961">
        <v>11639</v>
      </c>
      <c r="F1028" s="961">
        <v>10094</v>
      </c>
      <c r="G1028" s="961">
        <v>8134</v>
      </c>
      <c r="H1028" s="961">
        <v>6738</v>
      </c>
      <c r="I1028" s="961">
        <v>5187</v>
      </c>
      <c r="J1028" s="961">
        <f>3173+31</f>
        <v>3204</v>
      </c>
      <c r="K1028" s="961">
        <f>2546+19</f>
        <v>2565</v>
      </c>
      <c r="L1028" s="961">
        <v>2276</v>
      </c>
      <c r="M1028" s="961">
        <v>1913</v>
      </c>
      <c r="N1028" s="961">
        <v>1474</v>
      </c>
      <c r="O1028" s="973"/>
      <c r="P1028" s="961"/>
      <c r="Q1028" s="961"/>
      <c r="R1028" s="380"/>
      <c r="S1028" s="974"/>
    </row>
    <row r="1029" spans="1:19" s="750" customFormat="1" ht="16.350000000000001" customHeight="1" outlineLevel="2">
      <c r="A1029" s="947"/>
      <c r="B1029" s="598"/>
      <c r="C1029" s="961"/>
      <c r="D1029" s="961"/>
      <c r="E1029" s="961"/>
      <c r="F1029" s="961"/>
      <c r="G1029" s="961"/>
      <c r="H1029" s="961"/>
      <c r="I1029" s="961"/>
      <c r="J1029" s="961"/>
      <c r="K1029" s="961"/>
      <c r="L1029" s="961"/>
      <c r="M1029" s="961"/>
      <c r="N1029" s="961"/>
      <c r="O1029" s="973"/>
      <c r="P1029" s="961"/>
      <c r="Q1029" s="961"/>
      <c r="R1029" s="380"/>
    </row>
    <row r="1030" spans="1:19" s="953" customFormat="1" ht="16.350000000000001" customHeight="1" outlineLevel="1">
      <c r="A1030" s="947"/>
      <c r="B1030" s="591" t="s">
        <v>797</v>
      </c>
      <c r="C1030" s="971">
        <v>6.0000000000000001E-3</v>
      </c>
      <c r="D1030" s="971">
        <v>-3.6499999999999998E-2</v>
      </c>
      <c r="E1030" s="971">
        <v>-4.7699999999999999E-2</v>
      </c>
      <c r="F1030" s="971">
        <v>4.4000000000000003E-3</v>
      </c>
      <c r="G1030" s="962">
        <v>0.14530000000000001</v>
      </c>
      <c r="H1030" s="962">
        <v>7.4899999999999994E-2</v>
      </c>
      <c r="I1030" s="962">
        <v>8.2799999999999999E-2</v>
      </c>
      <c r="J1030" s="962">
        <v>4.1200000000000001E-2</v>
      </c>
      <c r="K1030" s="962">
        <v>0.20150000000000001</v>
      </c>
      <c r="L1030" s="963">
        <v>2.81E-2</v>
      </c>
      <c r="M1030" s="963">
        <v>0.14050000000000001</v>
      </c>
      <c r="N1030" s="963">
        <v>0.1792</v>
      </c>
      <c r="O1030" s="963">
        <v>0.156</v>
      </c>
      <c r="P1030" s="963">
        <v>0.1545</v>
      </c>
      <c r="Q1030" s="964"/>
      <c r="R1030" s="952"/>
    </row>
    <row r="1031" spans="1:19" s="981" customFormat="1" ht="16.350000000000001" customHeight="1" outlineLevel="2">
      <c r="A1031" s="344"/>
      <c r="B1031" s="593" t="s">
        <v>798</v>
      </c>
      <c r="C1031" s="975">
        <v>4.2000000000000003E-2</v>
      </c>
      <c r="D1031" s="976">
        <v>-1E-4</v>
      </c>
      <c r="E1031" s="976">
        <v>-1.4E-3</v>
      </c>
      <c r="F1031" s="976">
        <v>-1.01E-2</v>
      </c>
      <c r="G1031" s="977">
        <v>0.13969999999999999</v>
      </c>
      <c r="H1031" s="977">
        <v>5.6000000000000001E-2</v>
      </c>
      <c r="I1031" s="977">
        <v>6.3399999999999998E-2</v>
      </c>
      <c r="J1031" s="977">
        <v>4.9000000000000002E-2</v>
      </c>
      <c r="K1031" s="977">
        <v>0.13439999999999999</v>
      </c>
      <c r="L1031" s="978">
        <v>3.4299999999999997E-2</v>
      </c>
      <c r="M1031" s="978">
        <v>0.1368</v>
      </c>
      <c r="N1031" s="978">
        <v>0.21110000000000001</v>
      </c>
      <c r="O1031" s="978">
        <v>0.128</v>
      </c>
      <c r="P1031" s="978">
        <v>0.1111</v>
      </c>
      <c r="Q1031" s="979"/>
      <c r="R1031" s="980"/>
    </row>
    <row r="1032" spans="1:19" s="981" customFormat="1" ht="16.350000000000001" customHeight="1" outlineLevel="2">
      <c r="A1032" s="344"/>
      <c r="B1032" s="593" t="s">
        <v>799</v>
      </c>
      <c r="C1032" s="975">
        <v>-3.5000000000000003E-2</v>
      </c>
      <c r="D1032" s="975">
        <v>-3.6400000000000002E-2</v>
      </c>
      <c r="E1032" s="975">
        <v>-4.6399999999999997E-2</v>
      </c>
      <c r="F1032" s="975">
        <v>1.46E-2</v>
      </c>
      <c r="G1032" s="977">
        <v>4.8999999999999998E-3</v>
      </c>
      <c r="H1032" s="977">
        <v>1.7899999999999999E-2</v>
      </c>
      <c r="I1032" s="977">
        <v>1.8200000000000001E-2</v>
      </c>
      <c r="J1032" s="977">
        <v>-7.4999999999999997E-3</v>
      </c>
      <c r="K1032" s="977">
        <v>5.91E-2</v>
      </c>
      <c r="L1032" s="978">
        <v>-6.0000000000000001E-3</v>
      </c>
      <c r="M1032" s="978">
        <v>3.7000000000000002E-3</v>
      </c>
      <c r="N1032" s="978">
        <v>-2.64E-2</v>
      </c>
      <c r="O1032" s="978">
        <v>-2.5000000000000001E-2</v>
      </c>
      <c r="P1032" s="978">
        <v>3.9100000000000003E-2</v>
      </c>
      <c r="Q1032" s="979"/>
      <c r="R1032" s="980"/>
    </row>
    <row r="1033" spans="1:19" s="885" customFormat="1" ht="16.350000000000001" customHeight="1" outlineLevel="2">
      <c r="A1033" s="344"/>
      <c r="B1033" s="596" t="s">
        <v>800</v>
      </c>
      <c r="C1033" s="982"/>
      <c r="D1033" s="983">
        <v>12962</v>
      </c>
      <c r="E1033" s="983">
        <v>11423</v>
      </c>
      <c r="F1033" s="983">
        <v>9557</v>
      </c>
      <c r="G1033" s="983">
        <v>7894</v>
      </c>
      <c r="H1033" s="983">
        <v>6571</v>
      </c>
      <c r="I1033" s="983">
        <v>5051</v>
      </c>
      <c r="J1033" s="983">
        <f>3186+25</f>
        <v>3211</v>
      </c>
      <c r="K1033" s="983">
        <f>2542+14</f>
        <v>2556</v>
      </c>
      <c r="L1033" s="983">
        <v>2199</v>
      </c>
      <c r="M1033" s="983">
        <v>1849</v>
      </c>
      <c r="N1033" s="983">
        <v>1487</v>
      </c>
      <c r="O1033" s="983">
        <v>1095</v>
      </c>
      <c r="P1033" s="983"/>
      <c r="Q1033" s="983"/>
      <c r="R1033" s="882"/>
      <c r="S1033" s="974"/>
    </row>
    <row r="1034" spans="1:19" s="885" customFormat="1" ht="16.350000000000001" customHeight="1" outlineLevel="2">
      <c r="A1034" s="344"/>
      <c r="B1034" s="984"/>
      <c r="C1034" s="985"/>
      <c r="D1034" s="985"/>
      <c r="E1034" s="985"/>
      <c r="F1034" s="985"/>
      <c r="G1034" s="985"/>
      <c r="H1034" s="985"/>
      <c r="I1034" s="985"/>
      <c r="J1034" s="985"/>
      <c r="K1034" s="985"/>
      <c r="L1034" s="985"/>
      <c r="M1034" s="985"/>
      <c r="N1034" s="985"/>
      <c r="O1034" s="985"/>
      <c r="P1034" s="985"/>
      <c r="Q1034" s="986"/>
      <c r="R1034" s="882"/>
    </row>
    <row r="1035" spans="1:19" s="885" customFormat="1" ht="16.350000000000001" customHeight="1" outlineLevel="1">
      <c r="A1035" s="344"/>
      <c r="B1035" s="609"/>
      <c r="C1035" s="731"/>
      <c r="D1035" s="731"/>
      <c r="E1035" s="731"/>
      <c r="F1035" s="731"/>
      <c r="G1035" s="731"/>
      <c r="H1035" s="731"/>
      <c r="I1035" s="731"/>
      <c r="J1035" s="731"/>
      <c r="K1035" s="731"/>
      <c r="L1035" s="731"/>
      <c r="M1035" s="731"/>
      <c r="N1035" s="731"/>
      <c r="O1035" s="731"/>
      <c r="P1035" s="731"/>
      <c r="Q1035" s="733"/>
      <c r="R1035" s="882"/>
    </row>
    <row r="1036" spans="1:19" s="620" customFormat="1" ht="16.350000000000001" customHeight="1" outlineLevel="1">
      <c r="A1036" s="339"/>
      <c r="B1036" s="616" t="s">
        <v>801</v>
      </c>
      <c r="C1036" s="617"/>
      <c r="D1036" s="617">
        <f t="shared" ref="D1036:Q1042" si="133">D943+D849+D737</f>
        <v>5754930</v>
      </c>
      <c r="E1036" s="617">
        <f t="shared" si="133"/>
        <v>5067670</v>
      </c>
      <c r="F1036" s="617">
        <f t="shared" si="133"/>
        <v>4413720</v>
      </c>
      <c r="G1036" s="617">
        <f t="shared" si="133"/>
        <v>3590640</v>
      </c>
      <c r="H1036" s="617">
        <f t="shared" si="133"/>
        <v>3011380</v>
      </c>
      <c r="I1036" s="617">
        <f t="shared" si="133"/>
        <v>2549270</v>
      </c>
      <c r="J1036" s="617">
        <f t="shared" si="133"/>
        <v>1970170</v>
      </c>
      <c r="K1036" s="617">
        <f t="shared" si="133"/>
        <v>1422380</v>
      </c>
      <c r="L1036" s="617">
        <f t="shared" si="133"/>
        <v>1059870</v>
      </c>
      <c r="M1036" s="617">
        <f t="shared" si="133"/>
        <v>823507</v>
      </c>
      <c r="N1036" s="617">
        <f t="shared" si="133"/>
        <v>651658</v>
      </c>
      <c r="O1036" s="617">
        <f t="shared" si="133"/>
        <v>522916</v>
      </c>
      <c r="P1036" s="617">
        <f t="shared" si="133"/>
        <v>382609</v>
      </c>
      <c r="Q1036" s="623">
        <f t="shared" si="133"/>
        <v>0</v>
      </c>
      <c r="R1036" s="255"/>
    </row>
    <row r="1037" spans="1:19" s="990" customFormat="1" ht="16.350000000000001" customHeight="1" outlineLevel="1">
      <c r="A1037" s="339"/>
      <c r="B1037" s="987" t="s">
        <v>802</v>
      </c>
      <c r="C1037" s="988"/>
      <c r="D1037" s="617">
        <f t="shared" si="133"/>
        <v>74760</v>
      </c>
      <c r="E1037" s="617">
        <f t="shared" si="133"/>
        <v>80320</v>
      </c>
      <c r="F1037" s="617">
        <f t="shared" si="133"/>
        <v>109910</v>
      </c>
      <c r="G1037" s="617">
        <f t="shared" si="133"/>
        <v>142100</v>
      </c>
      <c r="H1037" s="617">
        <f t="shared" si="133"/>
        <v>57240</v>
      </c>
      <c r="I1037" s="617">
        <f t="shared" si="133"/>
        <v>80620</v>
      </c>
      <c r="J1037" s="617">
        <f t="shared" si="133"/>
        <v>54730</v>
      </c>
      <c r="K1037" s="617">
        <f t="shared" si="133"/>
        <v>63340</v>
      </c>
      <c r="L1037" s="617">
        <f t="shared" si="133"/>
        <v>32740</v>
      </c>
      <c r="M1037" s="617">
        <f t="shared" si="133"/>
        <v>30753</v>
      </c>
      <c r="N1037" s="617">
        <f t="shared" si="133"/>
        <v>23277</v>
      </c>
      <c r="O1037" s="617">
        <f t="shared" si="133"/>
        <v>23573</v>
      </c>
      <c r="P1037" s="617">
        <f t="shared" si="133"/>
        <v>28908</v>
      </c>
      <c r="Q1037" s="989">
        <f t="shared" si="133"/>
        <v>0</v>
      </c>
      <c r="R1037" s="255"/>
    </row>
    <row r="1038" spans="1:19" s="990" customFormat="1" ht="16.350000000000001" customHeight="1" outlineLevel="1">
      <c r="A1038" s="339"/>
      <c r="B1038" s="991" t="s">
        <v>672</v>
      </c>
      <c r="C1038" s="988"/>
      <c r="D1038" s="617">
        <f t="shared" si="133"/>
        <v>114880</v>
      </c>
      <c r="E1038" s="617">
        <f t="shared" si="133"/>
        <v>171610</v>
      </c>
      <c r="F1038" s="617">
        <f t="shared" si="133"/>
        <v>153580</v>
      </c>
      <c r="G1038" s="617">
        <f t="shared" si="133"/>
        <v>195260</v>
      </c>
      <c r="H1038" s="617">
        <f t="shared" si="133"/>
        <v>120610</v>
      </c>
      <c r="I1038" s="617">
        <f t="shared" si="133"/>
        <v>118210</v>
      </c>
      <c r="J1038" s="617">
        <f t="shared" si="133"/>
        <v>94640</v>
      </c>
      <c r="K1038" s="617">
        <f t="shared" si="133"/>
        <v>127130</v>
      </c>
      <c r="L1038" s="617">
        <f t="shared" si="133"/>
        <v>63508</v>
      </c>
      <c r="M1038" s="617">
        <f t="shared" si="133"/>
        <v>50955</v>
      </c>
      <c r="N1038" s="617">
        <f t="shared" si="133"/>
        <v>39669</v>
      </c>
      <c r="O1038" s="617">
        <f t="shared" si="133"/>
        <v>24212</v>
      </c>
      <c r="P1038" s="617">
        <f t="shared" si="133"/>
        <v>36983</v>
      </c>
      <c r="Q1038" s="992">
        <f t="shared" si="133"/>
        <v>34142</v>
      </c>
      <c r="R1038" s="255"/>
    </row>
    <row r="1039" spans="1:19" s="990" customFormat="1" ht="16.350000000000001" customHeight="1" outlineLevel="1">
      <c r="A1039" s="339"/>
      <c r="B1039" s="993" t="s">
        <v>673</v>
      </c>
      <c r="C1039" s="988"/>
      <c r="D1039" s="617">
        <f t="shared" si="133"/>
        <v>147530</v>
      </c>
      <c r="E1039" s="617">
        <f t="shared" si="133"/>
        <v>242870</v>
      </c>
      <c r="F1039" s="617">
        <f t="shared" si="133"/>
        <v>148180</v>
      </c>
      <c r="G1039" s="617">
        <f t="shared" si="133"/>
        <v>227000</v>
      </c>
      <c r="H1039" s="617">
        <f t="shared" si="133"/>
        <v>137780</v>
      </c>
      <c r="I1039" s="617">
        <f t="shared" si="133"/>
        <v>93300</v>
      </c>
      <c r="J1039" s="617">
        <f t="shared" si="133"/>
        <v>141330</v>
      </c>
      <c r="K1039" s="617">
        <f t="shared" si="133"/>
        <v>127570</v>
      </c>
      <c r="L1039" s="617">
        <f t="shared" si="133"/>
        <v>84972</v>
      </c>
      <c r="M1039" s="617">
        <f t="shared" si="133"/>
        <v>62013</v>
      </c>
      <c r="N1039" s="617">
        <f t="shared" si="133"/>
        <v>38980</v>
      </c>
      <c r="O1039" s="617">
        <f t="shared" si="133"/>
        <v>22352</v>
      </c>
      <c r="P1039" s="617">
        <f t="shared" si="133"/>
        <v>31483</v>
      </c>
      <c r="Q1039" s="992">
        <f t="shared" si="133"/>
        <v>37433</v>
      </c>
      <c r="R1039" s="255"/>
    </row>
    <row r="1040" spans="1:19" s="990" customFormat="1" ht="16.350000000000001" customHeight="1" outlineLevel="1">
      <c r="A1040" s="339"/>
      <c r="B1040" s="993" t="s">
        <v>674</v>
      </c>
      <c r="C1040" s="988"/>
      <c r="D1040" s="617">
        <f t="shared" si="133"/>
        <v>331510</v>
      </c>
      <c r="E1040" s="617">
        <f t="shared" si="133"/>
        <v>192470</v>
      </c>
      <c r="F1040" s="617">
        <f t="shared" si="133"/>
        <v>242280</v>
      </c>
      <c r="G1040" s="617">
        <f t="shared" si="133"/>
        <v>258720</v>
      </c>
      <c r="H1040" s="617">
        <f t="shared" si="133"/>
        <v>263640</v>
      </c>
      <c r="I1040" s="617">
        <f t="shared" si="133"/>
        <v>169990</v>
      </c>
      <c r="J1040" s="617">
        <f t="shared" si="133"/>
        <v>288400</v>
      </c>
      <c r="K1040" s="617">
        <f t="shared" si="133"/>
        <v>229750</v>
      </c>
      <c r="L1040" s="617">
        <f t="shared" si="133"/>
        <v>181290</v>
      </c>
      <c r="M1040" s="617">
        <f t="shared" si="133"/>
        <v>92642</v>
      </c>
      <c r="N1040" s="617">
        <f t="shared" si="133"/>
        <v>69923</v>
      </c>
      <c r="O1040" s="617">
        <f t="shared" si="133"/>
        <v>58605</v>
      </c>
      <c r="P1040" s="617">
        <f t="shared" si="133"/>
        <v>42933</v>
      </c>
      <c r="Q1040" s="992">
        <f t="shared" si="133"/>
        <v>28566</v>
      </c>
      <c r="R1040" s="255"/>
    </row>
    <row r="1041" spans="1:18" s="631" customFormat="1" ht="16.350000000000001" customHeight="1" outlineLevel="1">
      <c r="A1041" s="339"/>
      <c r="B1041" s="627" t="s">
        <v>675</v>
      </c>
      <c r="C1041" s="628"/>
      <c r="D1041" s="994">
        <f t="shared" si="133"/>
        <v>668680</v>
      </c>
      <c r="E1041" s="994">
        <f t="shared" si="133"/>
        <v>687270</v>
      </c>
      <c r="F1041" s="994">
        <f t="shared" si="133"/>
        <v>653950</v>
      </c>
      <c r="G1041" s="994">
        <f t="shared" si="133"/>
        <v>823080</v>
      </c>
      <c r="H1041" s="994">
        <f t="shared" si="133"/>
        <v>579260</v>
      </c>
      <c r="I1041" s="994">
        <f t="shared" si="133"/>
        <v>462120</v>
      </c>
      <c r="J1041" s="994">
        <f t="shared" si="133"/>
        <v>579100</v>
      </c>
      <c r="K1041" s="994">
        <f t="shared" si="133"/>
        <v>547790</v>
      </c>
      <c r="L1041" s="994">
        <f t="shared" si="133"/>
        <v>362510</v>
      </c>
      <c r="M1041" s="994">
        <f t="shared" si="133"/>
        <v>236363</v>
      </c>
      <c r="N1041" s="994">
        <f t="shared" si="133"/>
        <v>171849</v>
      </c>
      <c r="O1041" s="994">
        <f t="shared" si="133"/>
        <v>128742</v>
      </c>
      <c r="P1041" s="994">
        <f t="shared" si="133"/>
        <v>140307</v>
      </c>
      <c r="Q1041" s="995">
        <f t="shared" si="133"/>
        <v>0</v>
      </c>
      <c r="R1041" s="255"/>
    </row>
    <row r="1042" spans="1:18" s="635" customFormat="1" ht="16.350000000000001" customHeight="1" outlineLevel="1">
      <c r="A1042" s="339"/>
      <c r="B1042" s="632" t="s">
        <v>803</v>
      </c>
      <c r="C1042" s="633"/>
      <c r="D1042" s="996">
        <f t="shared" si="133"/>
        <v>6423610</v>
      </c>
      <c r="E1042" s="996">
        <f t="shared" si="133"/>
        <v>5754930</v>
      </c>
      <c r="F1042" s="996">
        <f t="shared" si="133"/>
        <v>5067670</v>
      </c>
      <c r="G1042" s="996">
        <f t="shared" si="133"/>
        <v>4413720</v>
      </c>
      <c r="H1042" s="996">
        <f t="shared" si="133"/>
        <v>3590640</v>
      </c>
      <c r="I1042" s="996">
        <f t="shared" si="133"/>
        <v>3011380</v>
      </c>
      <c r="J1042" s="996">
        <f t="shared" si="133"/>
        <v>2549270</v>
      </c>
      <c r="K1042" s="996">
        <f t="shared" si="133"/>
        <v>1970170</v>
      </c>
      <c r="L1042" s="996">
        <f t="shared" si="133"/>
        <v>1422380</v>
      </c>
      <c r="M1042" s="996">
        <f t="shared" si="133"/>
        <v>1059870</v>
      </c>
      <c r="N1042" s="996">
        <f t="shared" si="133"/>
        <v>823507</v>
      </c>
      <c r="O1042" s="996">
        <f t="shared" si="133"/>
        <v>651658</v>
      </c>
      <c r="P1042" s="996">
        <f t="shared" si="133"/>
        <v>522916</v>
      </c>
      <c r="Q1042" s="997">
        <f t="shared" si="133"/>
        <v>382609</v>
      </c>
      <c r="R1042" s="255"/>
    </row>
    <row r="1043" spans="1:18" s="635" customFormat="1" ht="16.350000000000001" customHeight="1" outlineLevel="1">
      <c r="A1043" s="339"/>
      <c r="B1043" s="632"/>
      <c r="C1043" s="636"/>
      <c r="D1043" s="636"/>
      <c r="E1043" s="636"/>
      <c r="F1043" s="636"/>
      <c r="G1043" s="636"/>
      <c r="H1043" s="636"/>
      <c r="I1043" s="636"/>
      <c r="J1043" s="636"/>
      <c r="K1043" s="636"/>
      <c r="L1043" s="636"/>
      <c r="M1043" s="910"/>
      <c r="N1043" s="636"/>
      <c r="O1043" s="636"/>
      <c r="P1043" s="636"/>
      <c r="Q1043" s="998"/>
      <c r="R1043" s="255"/>
    </row>
    <row r="1044" spans="1:18" s="644" customFormat="1" ht="16.350000000000001" customHeight="1" outlineLevel="1">
      <c r="A1044" s="339"/>
      <c r="B1044" s="638" t="s">
        <v>677</v>
      </c>
      <c r="C1044" s="639"/>
      <c r="D1044" s="640">
        <f>D1041/D1036</f>
        <v>0.11619255142981756</v>
      </c>
      <c r="E1044" s="640">
        <f>E1041/E1036</f>
        <v>0.13561853869727114</v>
      </c>
      <c r="F1044" s="640">
        <f t="shared" ref="F1044:P1044" si="134">F1041/F1036</f>
        <v>0.14816300082470116</v>
      </c>
      <c r="G1044" s="640">
        <f t="shared" si="134"/>
        <v>0.22922932959026804</v>
      </c>
      <c r="H1044" s="640">
        <f t="shared" si="134"/>
        <v>0.19235699247521071</v>
      </c>
      <c r="I1044" s="640">
        <f t="shared" si="134"/>
        <v>0.18127542394489402</v>
      </c>
      <c r="J1044" s="640">
        <f t="shared" si="134"/>
        <v>0.29393402599775653</v>
      </c>
      <c r="K1044" s="640">
        <f t="shared" si="134"/>
        <v>0.38512211926489404</v>
      </c>
      <c r="L1044" s="640">
        <f t="shared" si="134"/>
        <v>0.34203251342145735</v>
      </c>
      <c r="M1044" s="640">
        <f t="shared" si="134"/>
        <v>0.28702002533068938</v>
      </c>
      <c r="N1044" s="640">
        <f t="shared" si="134"/>
        <v>0.26371041251699512</v>
      </c>
      <c r="O1044" s="640">
        <f t="shared" si="134"/>
        <v>0.24620015451812527</v>
      </c>
      <c r="P1044" s="640">
        <f t="shared" si="134"/>
        <v>0.36671118557064786</v>
      </c>
      <c r="Q1044" s="642"/>
      <c r="R1044" s="255"/>
    </row>
    <row r="1045" spans="1:18" s="709" customFormat="1" ht="16.350000000000001" customHeight="1" outlineLevel="1">
      <c r="A1045" s="696"/>
      <c r="B1045" s="706" t="s">
        <v>678</v>
      </c>
      <c r="C1045" s="707"/>
      <c r="D1045" s="999">
        <f>D1042/D1042</f>
        <v>1</v>
      </c>
      <c r="E1045" s="999">
        <f>E1042/E1042</f>
        <v>1</v>
      </c>
      <c r="F1045" s="999">
        <f t="shared" ref="F1045:N1045" si="135">F1042/F1042</f>
        <v>1</v>
      </c>
      <c r="G1045" s="999">
        <f t="shared" si="135"/>
        <v>1</v>
      </c>
      <c r="H1045" s="999">
        <f t="shared" si="135"/>
        <v>1</v>
      </c>
      <c r="I1045" s="999">
        <f t="shared" si="135"/>
        <v>1</v>
      </c>
      <c r="J1045" s="999">
        <f t="shared" si="135"/>
        <v>1</v>
      </c>
      <c r="K1045" s="999">
        <f t="shared" si="135"/>
        <v>1</v>
      </c>
      <c r="L1045" s="999">
        <f t="shared" si="135"/>
        <v>1</v>
      </c>
      <c r="M1045" s="999">
        <f t="shared" si="135"/>
        <v>1</v>
      </c>
      <c r="N1045" s="999">
        <f t="shared" si="135"/>
        <v>1</v>
      </c>
      <c r="O1045" s="999">
        <v>1</v>
      </c>
      <c r="P1045" s="999">
        <v>1</v>
      </c>
      <c r="Q1045" s="999">
        <v>1</v>
      </c>
      <c r="R1045" s="375"/>
    </row>
    <row r="1046" spans="1:18" s="709" customFormat="1" ht="16.350000000000001" customHeight="1" outlineLevel="1">
      <c r="A1046" s="696"/>
      <c r="B1046" s="706" t="s">
        <v>679</v>
      </c>
      <c r="C1046" s="707"/>
      <c r="D1046" s="999">
        <f>D1041/D1041</f>
        <v>1</v>
      </c>
      <c r="E1046" s="999">
        <f>E1041/E1041</f>
        <v>1</v>
      </c>
      <c r="F1046" s="999">
        <f t="shared" ref="F1046:N1046" si="136">F1041/F1041</f>
        <v>1</v>
      </c>
      <c r="G1046" s="999">
        <f t="shared" si="136"/>
        <v>1</v>
      </c>
      <c r="H1046" s="999">
        <f t="shared" si="136"/>
        <v>1</v>
      </c>
      <c r="I1046" s="999">
        <f t="shared" si="136"/>
        <v>1</v>
      </c>
      <c r="J1046" s="999">
        <f t="shared" si="136"/>
        <v>1</v>
      </c>
      <c r="K1046" s="999">
        <f t="shared" si="136"/>
        <v>1</v>
      </c>
      <c r="L1046" s="999">
        <f t="shared" si="136"/>
        <v>1</v>
      </c>
      <c r="M1046" s="999">
        <f t="shared" si="136"/>
        <v>1</v>
      </c>
      <c r="N1046" s="999">
        <f t="shared" si="136"/>
        <v>1</v>
      </c>
      <c r="O1046" s="999">
        <v>1</v>
      </c>
      <c r="P1046" s="999">
        <v>1</v>
      </c>
      <c r="Q1046" s="1000">
        <v>1</v>
      </c>
      <c r="R1046" s="375"/>
    </row>
    <row r="1047" spans="1:18" s="650" customFormat="1" ht="16.350000000000001" customHeight="1" outlineLevel="1">
      <c r="A1047" s="339"/>
      <c r="B1047" s="647"/>
      <c r="C1047" s="648"/>
      <c r="D1047" s="1001"/>
      <c r="E1047" s="1001"/>
      <c r="F1047" s="1001"/>
      <c r="G1047" s="1001"/>
      <c r="H1047" s="1001"/>
      <c r="I1047" s="1001"/>
      <c r="J1047" s="1001"/>
      <c r="K1047" s="1001"/>
      <c r="L1047" s="1001"/>
      <c r="M1047" s="1001"/>
      <c r="N1047" s="1001"/>
      <c r="O1047" s="1001"/>
      <c r="P1047" s="1001"/>
      <c r="Q1047" s="1001"/>
      <c r="R1047" s="255"/>
    </row>
    <row r="1048" spans="1:18" s="1006" customFormat="1" ht="16.350000000000001" customHeight="1" outlineLevel="1">
      <c r="A1048" s="1002"/>
      <c r="B1048" s="1003" t="s">
        <v>804</v>
      </c>
      <c r="C1048" s="1004"/>
      <c r="D1048" s="1004">
        <f t="shared" ref="D1048:Q1048" si="137">D955+D861+D749</f>
        <v>1216851273000</v>
      </c>
      <c r="E1048" s="1004">
        <f t="shared" si="137"/>
        <v>1131113100000</v>
      </c>
      <c r="F1048" s="1004">
        <f t="shared" si="137"/>
        <v>1069205850000</v>
      </c>
      <c r="G1048" s="1004">
        <f t="shared" si="137"/>
        <v>947800990000</v>
      </c>
      <c r="H1048" s="1004">
        <f t="shared" si="137"/>
        <v>762721310000</v>
      </c>
      <c r="I1048" s="1004">
        <f t="shared" si="137"/>
        <v>579528480000</v>
      </c>
      <c r="J1048" s="1004">
        <f t="shared" si="137"/>
        <v>448486190000</v>
      </c>
      <c r="K1048" s="1004">
        <f t="shared" si="137"/>
        <v>335607390000</v>
      </c>
      <c r="L1048" s="1004">
        <f t="shared" si="137"/>
        <v>236170900000</v>
      </c>
      <c r="M1048" s="1004">
        <f t="shared" si="137"/>
        <v>169604520000</v>
      </c>
      <c r="N1048" s="1004">
        <f t="shared" si="137"/>
        <v>132380000000</v>
      </c>
      <c r="O1048" s="1004">
        <f t="shared" si="137"/>
        <v>93296000000</v>
      </c>
      <c r="P1048" s="1004">
        <f t="shared" si="137"/>
        <v>68100000000</v>
      </c>
      <c r="Q1048" s="1004">
        <f t="shared" si="137"/>
        <v>44532000000</v>
      </c>
      <c r="R1048" s="1005"/>
    </row>
    <row r="1049" spans="1:18" s="1009" customFormat="1" ht="16.350000000000001" customHeight="1" outlineLevel="1">
      <c r="A1049" s="1002"/>
      <c r="B1049" s="1007" t="s">
        <v>805</v>
      </c>
      <c r="C1049" s="1008"/>
      <c r="D1049" s="1008">
        <v>8.0799999999999997E-2</v>
      </c>
      <c r="E1049" s="1008">
        <v>3.9800000000000002E-2</v>
      </c>
      <c r="F1049" s="1008">
        <v>0.16589999999999999</v>
      </c>
      <c r="G1049" s="1008">
        <v>0.33110000000000001</v>
      </c>
      <c r="H1049" s="1008">
        <v>0.2495</v>
      </c>
      <c r="I1049" s="1008">
        <v>0.3044</v>
      </c>
      <c r="J1049" s="1008">
        <v>0.34068622028406814</v>
      </c>
      <c r="K1049" s="1008">
        <v>0.53149699757899893</v>
      </c>
      <c r="L1049" s="1008">
        <v>0.28359141595278348</v>
      </c>
      <c r="M1049" s="1008">
        <v>0.35825875821332098</v>
      </c>
      <c r="N1049" s="1008">
        <v>0.37074359897622555</v>
      </c>
      <c r="O1049" s="1008">
        <v>0.48136775350566485</v>
      </c>
      <c r="P1049" s="1008">
        <v>0.57412595267839217</v>
      </c>
      <c r="Q1049" s="1008"/>
      <c r="R1049" s="1005"/>
    </row>
    <row r="1050" spans="1:18" s="1009" customFormat="1" ht="16.350000000000001" customHeight="1" outlineLevel="1">
      <c r="A1050" s="1002"/>
      <c r="B1050" s="1007" t="s">
        <v>806</v>
      </c>
      <c r="C1050" s="1008"/>
      <c r="D1050" s="1008">
        <v>6.4780282469675043E-2</v>
      </c>
      <c r="E1050" s="1008">
        <v>7.4099999999999999E-2</v>
      </c>
      <c r="F1050" s="1008">
        <v>0.1255</v>
      </c>
      <c r="G1050" s="1008">
        <v>0.27310000000000001</v>
      </c>
      <c r="H1050" s="1008">
        <v>0.30630000000000002</v>
      </c>
      <c r="I1050" s="1008">
        <v>0.32479999999999998</v>
      </c>
      <c r="J1050" s="1008">
        <v>0.31130959625902554</v>
      </c>
      <c r="K1050" s="1008">
        <v>0.49146279512025881</v>
      </c>
      <c r="L1050" s="1008">
        <v>0.35620077785049498</v>
      </c>
      <c r="M1050" s="1008">
        <v>0.30345996738621506</v>
      </c>
      <c r="N1050" s="1008">
        <v>0.39635559238870433</v>
      </c>
      <c r="O1050" s="1008">
        <v>0.40492322934654679</v>
      </c>
      <c r="P1050" s="1008">
        <v>0.4905298899316286</v>
      </c>
      <c r="Q1050" s="1008"/>
      <c r="R1050" s="1005"/>
    </row>
    <row r="1051" spans="1:18" s="1009" customFormat="1" ht="16.350000000000001" customHeight="1" outlineLevel="1">
      <c r="A1051" s="1002"/>
      <c r="B1051" s="1007" t="s">
        <v>807</v>
      </c>
      <c r="C1051" s="1008"/>
      <c r="D1051" s="1008">
        <v>7.9846755768843702E-2</v>
      </c>
      <c r="E1051" s="1008">
        <v>5.7599999999999998E-2</v>
      </c>
      <c r="F1051" s="1008">
        <v>0.1376</v>
      </c>
      <c r="G1051" s="1008">
        <v>0.21490000000000001</v>
      </c>
      <c r="H1051" s="1008">
        <v>0.34050000000000002</v>
      </c>
      <c r="I1051" s="1008">
        <v>0.28960000000000002</v>
      </c>
      <c r="J1051" s="1008">
        <v>0.33851149321518181</v>
      </c>
      <c r="K1051" s="1008">
        <v>0.37379002013489337</v>
      </c>
      <c r="L1051" s="1008">
        <v>0.40869693885017688</v>
      </c>
      <c r="M1051" s="1008">
        <v>0.26452275179935025</v>
      </c>
      <c r="N1051" s="1008">
        <v>0.43177294903044228</v>
      </c>
      <c r="O1051" s="1008">
        <v>0.33760222516336702</v>
      </c>
      <c r="P1051" s="1008">
        <v>0.52447767999323758</v>
      </c>
      <c r="Q1051" s="1008"/>
      <c r="R1051" s="1005"/>
    </row>
    <row r="1052" spans="1:18" s="1009" customFormat="1" ht="16.350000000000001" customHeight="1" outlineLevel="1">
      <c r="A1052" s="1002"/>
      <c r="B1052" s="1007" t="s">
        <v>808</v>
      </c>
      <c r="D1052" s="1008">
        <v>9.2458286745819226E-2</v>
      </c>
      <c r="E1052" s="1008">
        <v>6.5600000000000006E-2</v>
      </c>
      <c r="F1052" s="1008">
        <v>0.09</v>
      </c>
      <c r="G1052" s="1008">
        <v>0.1757</v>
      </c>
      <c r="H1052" s="1008">
        <v>0.35680000000000001</v>
      </c>
      <c r="I1052" s="1008">
        <v>0.25790000000000002</v>
      </c>
      <c r="J1052" s="1008">
        <v>0.35239293639471492</v>
      </c>
      <c r="K1052" s="1008">
        <v>0.33258206591841333</v>
      </c>
      <c r="L1052" s="1008">
        <v>0.49432945343812995</v>
      </c>
      <c r="M1052" s="1008">
        <v>0.21230201631155232</v>
      </c>
      <c r="N1052" s="1008">
        <v>0.44357550862645789</v>
      </c>
      <c r="O1052" s="1008">
        <v>0.33215019724062289</v>
      </c>
      <c r="P1052" s="1008">
        <v>0.53445992228861727</v>
      </c>
      <c r="Q1052" s="1008"/>
      <c r="R1052" s="1005"/>
    </row>
    <row r="1053" spans="1:18" s="660" customFormat="1" ht="16.350000000000001" customHeight="1" outlineLevel="1">
      <c r="A1053" s="344"/>
      <c r="B1053" s="656"/>
      <c r="D1053" s="1010"/>
      <c r="E1053" s="1010"/>
      <c r="F1053" s="1010"/>
      <c r="G1053" s="1011"/>
      <c r="H1053" s="1011"/>
      <c r="I1053" s="1011"/>
      <c r="J1053" s="1011"/>
      <c r="K1053" s="1011"/>
      <c r="L1053" s="1011"/>
      <c r="M1053" s="1012"/>
      <c r="N1053" s="1012"/>
      <c r="O1053" s="1011"/>
      <c r="P1053" s="1011"/>
      <c r="Q1053" s="1012"/>
      <c r="R1053" s="882"/>
    </row>
    <row r="1054" spans="1:18" s="669" customFormat="1" ht="16.350000000000001" customHeight="1" outlineLevel="1">
      <c r="A1054" s="344"/>
      <c r="B1054" s="664" t="s">
        <v>677</v>
      </c>
      <c r="C1054" s="665"/>
      <c r="D1054" s="831">
        <f>D1048/E1048-1</f>
        <v>7.5799823200703775E-2</v>
      </c>
      <c r="E1054" s="831">
        <f>E1048/F1048-1</f>
        <v>5.7900216314753505E-2</v>
      </c>
      <c r="F1054" s="831">
        <v>0.12809999999999999</v>
      </c>
      <c r="G1054" s="831">
        <v>0.2427</v>
      </c>
      <c r="H1054" s="831">
        <v>0.31609999999999999</v>
      </c>
      <c r="I1054" s="831">
        <v>0.29220000000000002</v>
      </c>
      <c r="J1054" s="831">
        <v>0.33629999999999999</v>
      </c>
      <c r="K1054" s="831">
        <v>0.42120000000000002</v>
      </c>
      <c r="L1054" s="831">
        <v>0.39229999999999998</v>
      </c>
      <c r="M1054" s="831">
        <v>0.27789999999999998</v>
      </c>
      <c r="N1054" s="831">
        <v>0.41349999999999998</v>
      </c>
      <c r="O1054" s="831">
        <v>0.38080000000000003</v>
      </c>
      <c r="P1054" s="667">
        <v>0.5292</v>
      </c>
      <c r="Q1054" s="667"/>
      <c r="R1054" s="882"/>
    </row>
    <row r="1055" spans="1:18" s="669" customFormat="1" ht="16.350000000000001" customHeight="1" outlineLevel="1">
      <c r="A1055" s="344"/>
      <c r="B1055" s="664" t="s">
        <v>685</v>
      </c>
      <c r="C1055" s="665"/>
      <c r="D1055" s="831">
        <f>D1054-D1044</f>
        <v>-4.0392728229113786E-2</v>
      </c>
      <c r="E1055" s="831">
        <f>E1054-E1044</f>
        <v>-7.7718322382517635E-2</v>
      </c>
      <c r="F1055" s="831">
        <f>F1054-F1044</f>
        <v>-2.0063000824701166E-2</v>
      </c>
      <c r="G1055" s="831">
        <f>G1054-G1044</f>
        <v>1.3470670409731961E-2</v>
      </c>
      <c r="H1055" s="831">
        <f>H1054-H1044</f>
        <v>0.12374300752478928</v>
      </c>
      <c r="I1055" s="831">
        <f t="shared" ref="I1055:N1055" si="138">I1054-I1044</f>
        <v>0.110924576055106</v>
      </c>
      <c r="J1055" s="831">
        <f t="shared" si="138"/>
        <v>4.2365974002243456E-2</v>
      </c>
      <c r="K1055" s="831">
        <f t="shared" si="138"/>
        <v>3.6077880735105983E-2</v>
      </c>
      <c r="L1055" s="831">
        <f t="shared" si="138"/>
        <v>5.0267486578542631E-2</v>
      </c>
      <c r="M1055" s="831">
        <f t="shared" si="138"/>
        <v>-9.1200253306893964E-3</v>
      </c>
      <c r="N1055" s="831">
        <f t="shared" si="138"/>
        <v>0.14978958748300486</v>
      </c>
      <c r="O1055" s="667"/>
      <c r="P1055" s="667"/>
      <c r="Q1055" s="667"/>
      <c r="R1055" s="882"/>
    </row>
    <row r="1056" spans="1:18" s="669" customFormat="1" ht="16.350000000000001" customHeight="1" outlineLevel="1">
      <c r="A1056" s="344"/>
      <c r="B1056" s="664" t="s">
        <v>686</v>
      </c>
      <c r="C1056" s="665"/>
      <c r="D1056" s="831">
        <f>D1048/D1048</f>
        <v>1</v>
      </c>
      <c r="E1056" s="831">
        <f>E1048/E1048</f>
        <v>1</v>
      </c>
      <c r="F1056" s="831">
        <f>F1048/F1048</f>
        <v>1</v>
      </c>
      <c r="G1056" s="831">
        <f t="shared" ref="G1056:M1056" si="139">G1048/G1048</f>
        <v>1</v>
      </c>
      <c r="H1056" s="831">
        <f t="shared" si="139"/>
        <v>1</v>
      </c>
      <c r="I1056" s="831">
        <f t="shared" si="139"/>
        <v>1</v>
      </c>
      <c r="J1056" s="831">
        <f t="shared" si="139"/>
        <v>1</v>
      </c>
      <c r="K1056" s="831">
        <f t="shared" si="139"/>
        <v>1</v>
      </c>
      <c r="L1056" s="831">
        <f t="shared" si="139"/>
        <v>1</v>
      </c>
      <c r="M1056" s="831">
        <f t="shared" si="139"/>
        <v>1</v>
      </c>
      <c r="N1056" s="831">
        <f>N1048/N1048</f>
        <v>1</v>
      </c>
      <c r="O1056" s="667"/>
      <c r="P1056" s="667"/>
      <c r="Q1056" s="667"/>
      <c r="R1056" s="882"/>
    </row>
    <row r="1057" spans="1:18" s="674" customFormat="1" ht="16.350000000000001" customHeight="1" outlineLevel="1">
      <c r="A1057" s="344"/>
      <c r="B1057" s="671" t="s">
        <v>687</v>
      </c>
      <c r="C1057" s="672"/>
      <c r="D1057" s="672">
        <f>(D1048/AVERAGE(D1042:E1042))/365</f>
        <v>547.49405168593103</v>
      </c>
      <c r="E1057" s="672">
        <f>(E1048/AVERAGE(E1042:F1042))/365</f>
        <v>572.67939312180067</v>
      </c>
      <c r="F1057" s="672">
        <f>(F1048/AVERAGE(F1042:G1042))/366</f>
        <v>616.22345647977636</v>
      </c>
      <c r="G1057" s="672">
        <f t="shared" ref="G1057:L1057" si="140">(G1048/AVERAGE(G1042:H1042))/365</f>
        <v>648.82515056691363</v>
      </c>
      <c r="H1057" s="672">
        <f t="shared" si="140"/>
        <v>633.03274593458798</v>
      </c>
      <c r="I1057" s="672">
        <f t="shared" si="140"/>
        <v>571.06606611600182</v>
      </c>
      <c r="J1057" s="672">
        <f>(J1048/AVERAGE(J1042:K1042))/366</f>
        <v>542.26722949088241</v>
      </c>
      <c r="K1057" s="672">
        <f t="shared" si="140"/>
        <v>542.05379515105926</v>
      </c>
      <c r="L1057" s="672">
        <f t="shared" si="140"/>
        <v>521.33633730996928</v>
      </c>
      <c r="M1057" s="672">
        <f>(M1048/AVERAGE(M1042:N1042))/365</f>
        <v>493.44333907467194</v>
      </c>
      <c r="N1057" s="672">
        <f>(N1048/AVERAGE(N1042:O1042))/366</f>
        <v>490.37767174660223</v>
      </c>
      <c r="O1057" s="672"/>
      <c r="P1057" s="672"/>
      <c r="Q1057" s="672"/>
      <c r="R1057" s="882"/>
    </row>
    <row r="1058" spans="1:18" s="1018" customFormat="1" ht="16.350000000000001" customHeight="1" outlineLevel="1">
      <c r="A1058" s="344"/>
      <c r="B1058" s="1013" t="s">
        <v>809</v>
      </c>
      <c r="C1058" s="1014"/>
      <c r="D1058" s="1015">
        <v>7.87426957830651E-2</v>
      </c>
      <c r="E1058" s="1015">
        <v>9.353454703233631E-2</v>
      </c>
      <c r="F1058" s="1015">
        <v>0.10100000000000001</v>
      </c>
      <c r="G1058" s="1016">
        <v>0.1099</v>
      </c>
      <c r="H1058" s="1017">
        <v>0.109</v>
      </c>
      <c r="I1058" s="1017">
        <v>0.12970000000000001</v>
      </c>
      <c r="J1058" s="1017">
        <v>0.13220000000000001</v>
      </c>
      <c r="K1058" s="1017">
        <v>0.14000000000000001</v>
      </c>
      <c r="L1058" s="1017">
        <v>0.12659999999999999</v>
      </c>
      <c r="M1058" s="1017">
        <v>0.12280000000000001</v>
      </c>
      <c r="N1058" s="1017">
        <v>0.1208</v>
      </c>
      <c r="O1058" s="1017">
        <v>0.12</v>
      </c>
      <c r="P1058" s="1017">
        <v>0.109</v>
      </c>
      <c r="Q1058" s="1017">
        <v>0.1212</v>
      </c>
      <c r="R1058" s="882"/>
    </row>
    <row r="1059" spans="1:18" s="1024" customFormat="1" ht="16.350000000000001" customHeight="1" outlineLevel="1">
      <c r="A1059" s="1002"/>
      <c r="B1059" s="1019" t="s">
        <v>810</v>
      </c>
      <c r="C1059" s="1020"/>
      <c r="D1059" s="1021">
        <v>6.8050107548411065E-2</v>
      </c>
      <c r="E1059" s="1021">
        <v>6.8697669325047825E-2</v>
      </c>
      <c r="F1059" s="1021">
        <v>7.5700000000000003E-2</v>
      </c>
      <c r="G1059" s="1022">
        <v>8.5999999999999993E-2</v>
      </c>
      <c r="H1059" s="1023">
        <v>9.5100000000000004E-2</v>
      </c>
      <c r="I1059" s="1023">
        <v>0.1</v>
      </c>
      <c r="J1059" s="1023"/>
      <c r="K1059" s="1023"/>
      <c r="L1059" s="1023"/>
      <c r="M1059" s="1023"/>
      <c r="N1059" s="1023"/>
      <c r="O1059" s="1023"/>
      <c r="P1059" s="1023"/>
      <c r="Q1059" s="1023"/>
      <c r="R1059" s="1005"/>
    </row>
    <row r="1060" spans="1:18" s="1018" customFormat="1" ht="16.350000000000001" customHeight="1" outlineLevel="1">
      <c r="A1060" s="344"/>
      <c r="B1060" s="1013"/>
      <c r="C1060" s="1014"/>
      <c r="D1060" s="1015"/>
      <c r="E1060" s="1015"/>
      <c r="F1060" s="1015"/>
      <c r="G1060" s="1014"/>
      <c r="H1060" s="1025"/>
      <c r="I1060" s="1025"/>
      <c r="J1060" s="1025"/>
      <c r="K1060" s="1025"/>
      <c r="L1060" s="1026"/>
      <c r="M1060" s="1026"/>
      <c r="N1060" s="1026"/>
      <c r="O1060" s="1026"/>
      <c r="P1060" s="1026"/>
      <c r="Q1060" s="1026"/>
      <c r="R1060" s="882"/>
    </row>
    <row r="1061" spans="1:18" s="1028" customFormat="1" ht="16.350000000000001" customHeight="1" outlineLevel="1">
      <c r="A1061" s="339"/>
      <c r="B1061" s="679" t="s">
        <v>811</v>
      </c>
      <c r="C1061" s="1027"/>
      <c r="D1061" s="1027">
        <f t="shared" ref="D1061:Q1067" si="141">D966+D872+D760</f>
        <v>16350</v>
      </c>
      <c r="E1061" s="1027">
        <f t="shared" si="141"/>
        <v>14059</v>
      </c>
      <c r="F1061" s="1027">
        <f t="shared" si="141"/>
        <v>12089</v>
      </c>
      <c r="G1061" s="1027">
        <f t="shared" si="141"/>
        <v>9711</v>
      </c>
      <c r="H1061" s="1027">
        <f t="shared" si="141"/>
        <v>8093</v>
      </c>
      <c r="I1061" s="1027">
        <f t="shared" si="141"/>
        <v>6884</v>
      </c>
      <c r="J1061" s="1027">
        <f t="shared" si="141"/>
        <v>5312</v>
      </c>
      <c r="K1061" s="1027">
        <f t="shared" si="141"/>
        <v>4055</v>
      </c>
      <c r="L1061" s="1027">
        <f t="shared" si="141"/>
        <v>3228</v>
      </c>
      <c r="M1061" s="1027">
        <f t="shared" si="141"/>
        <v>2582</v>
      </c>
      <c r="N1061" s="1027">
        <f t="shared" si="141"/>
        <v>2197</v>
      </c>
      <c r="O1061" s="1027">
        <f t="shared" si="141"/>
        <v>1893</v>
      </c>
      <c r="P1061" s="1027">
        <f t="shared" si="141"/>
        <v>1501</v>
      </c>
      <c r="Q1061" s="1027">
        <f t="shared" si="141"/>
        <v>1015</v>
      </c>
      <c r="R1061" s="255"/>
    </row>
    <row r="1062" spans="1:18" s="1028" customFormat="1" ht="16.350000000000001" customHeight="1" outlineLevel="1">
      <c r="A1062" s="339"/>
      <c r="B1062" s="987" t="s">
        <v>689</v>
      </c>
      <c r="C1062" s="1027"/>
      <c r="D1062" s="1027">
        <f t="shared" si="141"/>
        <v>275</v>
      </c>
      <c r="E1062" s="1027">
        <f t="shared" si="141"/>
        <v>250</v>
      </c>
      <c r="F1062" s="1027">
        <f t="shared" si="141"/>
        <v>345</v>
      </c>
      <c r="G1062" s="1027">
        <f t="shared" si="141"/>
        <v>409</v>
      </c>
      <c r="H1062" s="1027">
        <f t="shared" si="141"/>
        <v>163</v>
      </c>
      <c r="I1062" s="1027">
        <f t="shared" si="141"/>
        <v>191</v>
      </c>
      <c r="J1062" s="1027">
        <f t="shared" si="141"/>
        <v>157</v>
      </c>
      <c r="K1062" s="1027">
        <f t="shared" si="141"/>
        <v>134</v>
      </c>
      <c r="L1062" s="1027">
        <f t="shared" si="141"/>
        <v>90</v>
      </c>
      <c r="M1062" s="1027">
        <f t="shared" si="141"/>
        <v>94</v>
      </c>
      <c r="N1062" s="1027">
        <f t="shared" si="141"/>
        <v>41</v>
      </c>
      <c r="O1062" s="1027">
        <f t="shared" si="141"/>
        <v>37</v>
      </c>
      <c r="P1062" s="1027">
        <f t="shared" si="141"/>
        <v>74</v>
      </c>
      <c r="Q1062" s="1027">
        <f t="shared" si="141"/>
        <v>103</v>
      </c>
      <c r="R1062" s="255"/>
    </row>
    <row r="1063" spans="1:18" s="1028" customFormat="1" ht="16.350000000000001" customHeight="1" outlineLevel="1">
      <c r="A1063" s="339"/>
      <c r="B1063" s="1029" t="s">
        <v>690</v>
      </c>
      <c r="C1063" s="1027"/>
      <c r="D1063" s="1027">
        <f t="shared" si="141"/>
        <v>335</v>
      </c>
      <c r="E1063" s="1027">
        <f t="shared" si="141"/>
        <v>535</v>
      </c>
      <c r="F1063" s="1027">
        <f t="shared" si="141"/>
        <v>454</v>
      </c>
      <c r="G1063" s="1027">
        <f t="shared" si="141"/>
        <v>608</v>
      </c>
      <c r="H1063" s="1027">
        <f t="shared" si="141"/>
        <v>362</v>
      </c>
      <c r="I1063" s="1027">
        <f t="shared" si="141"/>
        <v>341</v>
      </c>
      <c r="J1063" s="1027">
        <f t="shared" si="141"/>
        <v>254</v>
      </c>
      <c r="K1063" s="1027">
        <f t="shared" si="141"/>
        <v>271</v>
      </c>
      <c r="L1063" s="1027">
        <f t="shared" si="141"/>
        <v>174</v>
      </c>
      <c r="M1063" s="1027">
        <f t="shared" si="141"/>
        <v>132</v>
      </c>
      <c r="N1063" s="1027">
        <f t="shared" si="141"/>
        <v>85</v>
      </c>
      <c r="O1063" s="1027">
        <f t="shared" si="141"/>
        <v>79</v>
      </c>
      <c r="P1063" s="1027">
        <f t="shared" si="141"/>
        <v>108</v>
      </c>
      <c r="Q1063" s="1027">
        <f t="shared" si="141"/>
        <v>136</v>
      </c>
      <c r="R1063" s="255"/>
    </row>
    <row r="1064" spans="1:18" s="1028" customFormat="1" ht="16.350000000000001" customHeight="1" outlineLevel="1">
      <c r="A1064" s="339"/>
      <c r="B1064" s="993" t="s">
        <v>691</v>
      </c>
      <c r="C1064" s="1027"/>
      <c r="D1064" s="1027">
        <f t="shared" si="141"/>
        <v>482</v>
      </c>
      <c r="E1064" s="1027">
        <f t="shared" si="141"/>
        <v>853</v>
      </c>
      <c r="F1064" s="1027">
        <f t="shared" si="141"/>
        <v>476</v>
      </c>
      <c r="G1064" s="1027">
        <f t="shared" si="141"/>
        <v>660</v>
      </c>
      <c r="H1064" s="1027">
        <f t="shared" si="141"/>
        <v>402</v>
      </c>
      <c r="I1064" s="1027">
        <f t="shared" si="141"/>
        <v>230</v>
      </c>
      <c r="J1064" s="1027">
        <f t="shared" si="141"/>
        <v>397</v>
      </c>
      <c r="K1064" s="1027">
        <f t="shared" si="141"/>
        <v>307</v>
      </c>
      <c r="L1064" s="1027">
        <f t="shared" si="141"/>
        <v>201</v>
      </c>
      <c r="M1064" s="1027">
        <f t="shared" si="141"/>
        <v>173</v>
      </c>
      <c r="N1064" s="1027">
        <f t="shared" si="141"/>
        <v>84</v>
      </c>
      <c r="O1064" s="1027">
        <f t="shared" si="141"/>
        <v>60</v>
      </c>
      <c r="P1064" s="1027">
        <f t="shared" si="141"/>
        <v>79</v>
      </c>
      <c r="Q1064" s="1027">
        <f t="shared" si="141"/>
        <v>124</v>
      </c>
      <c r="R1064" s="255"/>
    </row>
    <row r="1065" spans="1:18" s="1028" customFormat="1" ht="16.350000000000001" customHeight="1" outlineLevel="1">
      <c r="A1065" s="339"/>
      <c r="B1065" s="993" t="s">
        <v>692</v>
      </c>
      <c r="C1065" s="1027"/>
      <c r="D1065" s="1027">
        <f t="shared" si="141"/>
        <v>957</v>
      </c>
      <c r="E1065" s="1027">
        <f t="shared" si="141"/>
        <v>653</v>
      </c>
      <c r="F1065" s="1027">
        <f t="shared" si="141"/>
        <v>695</v>
      </c>
      <c r="G1065" s="1027">
        <f t="shared" si="141"/>
        <v>701</v>
      </c>
      <c r="H1065" s="1027">
        <f t="shared" si="141"/>
        <v>691</v>
      </c>
      <c r="I1065" s="1027">
        <f t="shared" si="141"/>
        <v>447</v>
      </c>
      <c r="J1065" s="1027">
        <f t="shared" si="141"/>
        <v>764</v>
      </c>
      <c r="K1065" s="1027">
        <f t="shared" si="141"/>
        <v>542</v>
      </c>
      <c r="L1065" s="1027">
        <f t="shared" si="141"/>
        <v>362</v>
      </c>
      <c r="M1065" s="1027">
        <f t="shared" si="141"/>
        <v>247</v>
      </c>
      <c r="N1065" s="1027">
        <f t="shared" si="141"/>
        <v>177</v>
      </c>
      <c r="O1065" s="1027">
        <f t="shared" si="141"/>
        <v>128</v>
      </c>
      <c r="P1065" s="1027">
        <f t="shared" si="141"/>
        <v>132</v>
      </c>
      <c r="Q1065" s="1027">
        <f t="shared" si="141"/>
        <v>123</v>
      </c>
      <c r="R1065" s="255"/>
    </row>
    <row r="1066" spans="1:18" s="1032" customFormat="1" ht="16.350000000000001" customHeight="1" outlineLevel="1">
      <c r="A1066" s="1030"/>
      <c r="B1066" s="690" t="s">
        <v>693</v>
      </c>
      <c r="C1066" s="1031"/>
      <c r="D1066" s="1031">
        <f t="shared" si="141"/>
        <v>2049</v>
      </c>
      <c r="E1066" s="1031">
        <f t="shared" si="141"/>
        <v>2291</v>
      </c>
      <c r="F1066" s="1031">
        <f t="shared" si="141"/>
        <v>1970</v>
      </c>
      <c r="G1066" s="1031">
        <f t="shared" si="141"/>
        <v>2378</v>
      </c>
      <c r="H1066" s="1031">
        <f t="shared" si="141"/>
        <v>1618</v>
      </c>
      <c r="I1066" s="1031">
        <f t="shared" si="141"/>
        <v>1209</v>
      </c>
      <c r="J1066" s="1031">
        <f t="shared" si="141"/>
        <v>1572</v>
      </c>
      <c r="K1066" s="1031">
        <f t="shared" si="141"/>
        <v>1254</v>
      </c>
      <c r="L1066" s="1031">
        <f t="shared" si="141"/>
        <v>827</v>
      </c>
      <c r="M1066" s="1031">
        <f t="shared" si="141"/>
        <v>646</v>
      </c>
      <c r="N1066" s="1031">
        <f t="shared" si="141"/>
        <v>385</v>
      </c>
      <c r="O1066" s="1031">
        <f t="shared" si="141"/>
        <v>304</v>
      </c>
      <c r="P1066" s="1031">
        <f t="shared" si="141"/>
        <v>393</v>
      </c>
      <c r="Q1066" s="1031">
        <f t="shared" si="141"/>
        <v>486</v>
      </c>
      <c r="R1066" s="170"/>
    </row>
    <row r="1067" spans="1:18" s="635" customFormat="1" ht="16.350000000000001" customHeight="1" outlineLevel="1">
      <c r="A1067" s="1030"/>
      <c r="B1067" s="632" t="s">
        <v>812</v>
      </c>
      <c r="C1067" s="633"/>
      <c r="D1067" s="1033">
        <f t="shared" si="141"/>
        <v>18399</v>
      </c>
      <c r="E1067" s="1033">
        <f t="shared" si="141"/>
        <v>16350</v>
      </c>
      <c r="F1067" s="1033">
        <f t="shared" si="141"/>
        <v>14059</v>
      </c>
      <c r="G1067" s="1033">
        <f t="shared" si="141"/>
        <v>12089</v>
      </c>
      <c r="H1067" s="1033">
        <f t="shared" si="141"/>
        <v>9711</v>
      </c>
      <c r="I1067" s="1033">
        <f t="shared" si="141"/>
        <v>8093</v>
      </c>
      <c r="J1067" s="1033">
        <f t="shared" si="141"/>
        <v>6884</v>
      </c>
      <c r="K1067" s="1033">
        <f t="shared" si="141"/>
        <v>5309</v>
      </c>
      <c r="L1067" s="1033">
        <f t="shared" si="141"/>
        <v>4055</v>
      </c>
      <c r="M1067" s="1033">
        <f t="shared" si="141"/>
        <v>3228</v>
      </c>
      <c r="N1067" s="1033">
        <f t="shared" si="141"/>
        <v>2582</v>
      </c>
      <c r="O1067" s="1033">
        <f t="shared" si="141"/>
        <v>2197</v>
      </c>
      <c r="P1067" s="1033">
        <f t="shared" si="141"/>
        <v>1893</v>
      </c>
      <c r="Q1067" s="634">
        <f t="shared" si="141"/>
        <v>1501</v>
      </c>
      <c r="R1067" s="170"/>
    </row>
    <row r="1068" spans="1:18" s="650" customFormat="1" ht="16.350000000000001" customHeight="1" outlineLevel="1">
      <c r="A1068" s="339"/>
      <c r="B1068" s="632"/>
      <c r="C1068" s="648"/>
      <c r="D1068" s="1034"/>
      <c r="E1068" s="1034"/>
      <c r="F1068" s="1034"/>
      <c r="G1068" s="648"/>
      <c r="H1068" s="648"/>
      <c r="I1068" s="648"/>
      <c r="J1068" s="648"/>
      <c r="K1068" s="648"/>
      <c r="L1068" s="648"/>
      <c r="M1068" s="648"/>
      <c r="N1068" s="648"/>
      <c r="O1068" s="648"/>
      <c r="P1068" s="648"/>
      <c r="Q1068" s="648"/>
      <c r="R1068" s="255"/>
    </row>
    <row r="1069" spans="1:18" s="1028" customFormat="1" ht="16.350000000000001" customHeight="1" outlineLevel="1">
      <c r="A1069" s="339"/>
      <c r="B1069" s="700" t="s">
        <v>695</v>
      </c>
      <c r="C1069" s="1027"/>
      <c r="D1069" s="1035">
        <f t="shared" ref="D1069:O1070" si="142">D974+D880+D768</f>
        <v>2385</v>
      </c>
      <c r="E1069" s="1035">
        <f t="shared" si="142"/>
        <v>2665</v>
      </c>
      <c r="F1069" s="1035">
        <f t="shared" si="142"/>
        <v>2222</v>
      </c>
      <c r="G1069" s="1035">
        <f t="shared" si="142"/>
        <v>2561</v>
      </c>
      <c r="H1069" s="1035">
        <f t="shared" si="142"/>
        <v>1745</v>
      </c>
      <c r="I1069" s="1035">
        <f t="shared" si="142"/>
        <v>1385</v>
      </c>
      <c r="J1069" s="1035">
        <f t="shared" si="142"/>
        <v>1675</v>
      </c>
      <c r="K1069" s="1035">
        <f t="shared" si="142"/>
        <v>1338</v>
      </c>
      <c r="L1069" s="1035">
        <f t="shared" si="142"/>
        <v>893</v>
      </c>
      <c r="M1069" s="1035">
        <f t="shared" si="142"/>
        <v>712</v>
      </c>
      <c r="N1069" s="1035">
        <f t="shared" si="142"/>
        <v>463</v>
      </c>
      <c r="O1069" s="1035">
        <f t="shared" si="142"/>
        <v>412</v>
      </c>
      <c r="P1069" s="1027"/>
      <c r="Q1069" s="1027"/>
      <c r="R1069" s="255"/>
    </row>
    <row r="1070" spans="1:18" s="1028" customFormat="1" ht="16.350000000000001" customHeight="1" outlineLevel="1">
      <c r="A1070" s="339"/>
      <c r="B1070" s="700" t="s">
        <v>696</v>
      </c>
      <c r="C1070" s="1027"/>
      <c r="D1070" s="1036">
        <f t="shared" si="142"/>
        <v>-336</v>
      </c>
      <c r="E1070" s="1036">
        <f t="shared" si="142"/>
        <v>-374</v>
      </c>
      <c r="F1070" s="1036">
        <f t="shared" si="142"/>
        <v>-252</v>
      </c>
      <c r="G1070" s="1036">
        <f t="shared" si="142"/>
        <v>-183</v>
      </c>
      <c r="H1070" s="1036">
        <f t="shared" si="142"/>
        <v>-127</v>
      </c>
      <c r="I1070" s="1036">
        <f t="shared" si="142"/>
        <v>-176</v>
      </c>
      <c r="J1070" s="1036">
        <f t="shared" si="142"/>
        <v>-103</v>
      </c>
      <c r="K1070" s="1036">
        <f t="shared" si="142"/>
        <v>-82</v>
      </c>
      <c r="L1070" s="1036">
        <f t="shared" si="142"/>
        <v>-65</v>
      </c>
      <c r="M1070" s="1036">
        <f t="shared" si="142"/>
        <v>-66</v>
      </c>
      <c r="N1070" s="1036">
        <f t="shared" si="142"/>
        <v>-78</v>
      </c>
      <c r="O1070" s="1036">
        <f t="shared" si="142"/>
        <v>-108</v>
      </c>
      <c r="P1070" s="1027"/>
      <c r="Q1070" s="1027"/>
      <c r="R1070" s="255"/>
    </row>
    <row r="1071" spans="1:18" s="1039" customFormat="1" ht="16.350000000000001" customHeight="1" outlineLevel="1">
      <c r="A1071" s="888"/>
      <c r="B1071" s="1037" t="s">
        <v>700</v>
      </c>
      <c r="C1071" s="1038"/>
      <c r="D1071" s="1038">
        <f>1-D1072</f>
        <v>0.81509864666557963</v>
      </c>
      <c r="E1071" s="1038">
        <v>0.79363914373088684</v>
      </c>
      <c r="F1071" s="1038">
        <v>0.78</v>
      </c>
      <c r="G1071" s="1038">
        <v>0.76</v>
      </c>
      <c r="H1071" s="1038">
        <v>0.72</v>
      </c>
      <c r="I1071" s="1038">
        <v>0.69</v>
      </c>
      <c r="J1071" s="1038">
        <v>0.67</v>
      </c>
      <c r="K1071" s="1038">
        <v>0.67</v>
      </c>
      <c r="L1071" s="1038">
        <v>0.65</v>
      </c>
      <c r="M1071" s="1038">
        <v>0.67</v>
      </c>
      <c r="N1071" s="1038">
        <v>0.68</v>
      </c>
      <c r="O1071" s="1038">
        <v>0.74</v>
      </c>
      <c r="P1071" s="1038">
        <v>0.76</v>
      </c>
      <c r="Q1071" s="1038"/>
      <c r="R1071" s="893"/>
    </row>
    <row r="1072" spans="1:18" s="1039" customFormat="1" ht="16.350000000000001" customHeight="1" outlineLevel="1">
      <c r="A1072" s="888"/>
      <c r="B1072" s="1037" t="s">
        <v>701</v>
      </c>
      <c r="C1072" s="1038"/>
      <c r="D1072" s="1038">
        <v>0.18490135333442034</v>
      </c>
      <c r="E1072" s="1038">
        <v>0.20636085626911316</v>
      </c>
      <c r="F1072" s="1038">
        <v>0.22</v>
      </c>
      <c r="G1072" s="1038">
        <v>0.24</v>
      </c>
      <c r="H1072" s="1038">
        <v>0.28000000000000003</v>
      </c>
      <c r="I1072" s="1038">
        <v>0.31</v>
      </c>
      <c r="J1072" s="1038">
        <v>0.33</v>
      </c>
      <c r="K1072" s="1038">
        <v>0.33</v>
      </c>
      <c r="L1072" s="1038">
        <v>0.35</v>
      </c>
      <c r="M1072" s="1038">
        <v>0.33</v>
      </c>
      <c r="N1072" s="1038">
        <v>0.32</v>
      </c>
      <c r="O1072" s="1038">
        <v>0.26</v>
      </c>
      <c r="P1072" s="1038">
        <v>0.24</v>
      </c>
      <c r="Q1072" s="1038"/>
      <c r="R1072" s="893"/>
    </row>
    <row r="1073" spans="1:18" s="1042" customFormat="1" ht="16.350000000000001" customHeight="1" outlineLevel="1">
      <c r="A1073" s="339"/>
      <c r="B1073" s="1040" t="s">
        <v>813</v>
      </c>
      <c r="C1073" s="1041"/>
      <c r="D1073" s="1041"/>
      <c r="E1073" s="1041">
        <f>E1013/E1067</f>
        <v>0.66941896024464831</v>
      </c>
      <c r="F1073" s="1041">
        <f t="shared" ref="F1073:O1073" si="143">F1013/F1067</f>
        <v>0.77658439433814641</v>
      </c>
      <c r="G1073" s="1041">
        <f t="shared" si="143"/>
        <v>0.69914798577218962</v>
      </c>
      <c r="H1073" s="1041">
        <f t="shared" si="143"/>
        <v>0.68983626814952115</v>
      </c>
      <c r="I1073" s="1041">
        <f t="shared" si="143"/>
        <v>0.66798467811689111</v>
      </c>
      <c r="J1073" s="1041">
        <f t="shared" si="143"/>
        <v>0.36170830912260316</v>
      </c>
      <c r="K1073" s="1041">
        <f t="shared" si="143"/>
        <v>0.37106799773968735</v>
      </c>
      <c r="L1073" s="1041">
        <f t="shared" si="143"/>
        <v>0.50110974106041928</v>
      </c>
      <c r="M1073" s="1041">
        <f t="shared" si="143"/>
        <v>0.53872366790582404</v>
      </c>
      <c r="N1073" s="1041">
        <f t="shared" si="143"/>
        <v>0.53253292021688614</v>
      </c>
      <c r="O1073" s="1041">
        <f t="shared" si="143"/>
        <v>0.46472462448793811</v>
      </c>
      <c r="P1073" s="1041">
        <v>0.34</v>
      </c>
      <c r="Q1073" s="1041"/>
      <c r="R1073" s="255"/>
    </row>
    <row r="1074" spans="1:18" s="1042" customFormat="1" ht="16.350000000000001" customHeight="1" outlineLevel="1">
      <c r="A1074" s="1043"/>
      <c r="B1074" s="1040" t="s">
        <v>703</v>
      </c>
      <c r="C1074" s="1041"/>
      <c r="D1074" s="1041"/>
      <c r="E1074" s="1041">
        <f>1-E1073</f>
        <v>0.33058103975535169</v>
      </c>
      <c r="F1074" s="1041">
        <f t="shared" ref="F1074:O1074" si="144">1-F1073</f>
        <v>0.22341560566185359</v>
      </c>
      <c r="G1074" s="1041">
        <f t="shared" si="144"/>
        <v>0.30085201422781038</v>
      </c>
      <c r="H1074" s="1041">
        <f t="shared" si="144"/>
        <v>0.31016373185047885</v>
      </c>
      <c r="I1074" s="1041">
        <f t="shared" si="144"/>
        <v>0.33201532188310889</v>
      </c>
      <c r="J1074" s="1041">
        <f t="shared" si="144"/>
        <v>0.63829169087739679</v>
      </c>
      <c r="K1074" s="1041">
        <f t="shared" si="144"/>
        <v>0.62893200226031265</v>
      </c>
      <c r="L1074" s="1041">
        <f t="shared" si="144"/>
        <v>0.49889025893958072</v>
      </c>
      <c r="M1074" s="1041">
        <f t="shared" si="144"/>
        <v>0.46127633209417596</v>
      </c>
      <c r="N1074" s="1041">
        <f t="shared" si="144"/>
        <v>0.46746707978311386</v>
      </c>
      <c r="O1074" s="1041">
        <f t="shared" si="144"/>
        <v>0.53527537551206184</v>
      </c>
      <c r="P1074" s="1041">
        <v>0.66</v>
      </c>
      <c r="Q1074" s="1041"/>
      <c r="R1074" s="1044"/>
    </row>
    <row r="1075" spans="1:18" s="650" customFormat="1" ht="16.350000000000001" customHeight="1" outlineLevel="1">
      <c r="A1075" s="339"/>
      <c r="B1075" s="632"/>
      <c r="C1075" s="648"/>
      <c r="D1075" s="1045"/>
      <c r="E1075" s="1045"/>
      <c r="F1075" s="1045"/>
      <c r="G1075" s="648"/>
      <c r="H1075" s="648"/>
      <c r="I1075" s="648"/>
      <c r="J1075" s="648"/>
      <c r="K1075" s="648"/>
      <c r="L1075" s="648"/>
      <c r="M1075" s="648"/>
      <c r="N1075" s="648"/>
      <c r="O1075" s="648"/>
      <c r="P1075" s="648"/>
      <c r="Q1075" s="648"/>
      <c r="R1075" s="255"/>
    </row>
    <row r="1076" spans="1:18" s="750" customFormat="1" ht="16.350000000000001" customHeight="1" outlineLevel="1">
      <c r="A1076" s="344"/>
      <c r="B1076" s="746" t="s">
        <v>814</v>
      </c>
      <c r="C1076" s="747"/>
      <c r="D1076" s="748">
        <v>3.0327735203000163E-2</v>
      </c>
      <c r="E1076" s="748">
        <v>3.3149847094801226E-2</v>
      </c>
      <c r="F1076" s="748">
        <v>3.0229746070133012E-2</v>
      </c>
      <c r="G1076" s="748">
        <v>2.7959301844652163E-2</v>
      </c>
      <c r="H1076" s="748">
        <v>2.1007105344454741E-2</v>
      </c>
      <c r="I1076" s="748">
        <v>1.4704065241566786E-2</v>
      </c>
      <c r="J1076" s="748">
        <v>8.1348053457292267E-3</v>
      </c>
      <c r="K1076" s="748">
        <v>5.0857035223205874E-3</v>
      </c>
      <c r="L1076" s="747"/>
      <c r="M1076" s="747"/>
      <c r="N1076" s="747"/>
      <c r="O1076" s="747"/>
      <c r="P1076" s="747"/>
      <c r="Q1076" s="747"/>
      <c r="R1076" s="882"/>
    </row>
    <row r="1077" spans="1:18" s="750" customFormat="1" ht="16.350000000000001" customHeight="1" outlineLevel="1">
      <c r="A1077" s="344"/>
      <c r="B1077" s="746" t="s">
        <v>815</v>
      </c>
      <c r="C1077" s="747"/>
      <c r="D1077" s="748">
        <v>1.5000815261699005E-2</v>
      </c>
      <c r="E1077" s="748">
        <v>1.584097859327217E-2</v>
      </c>
      <c r="F1077" s="748">
        <v>1.4794793370794508E-2</v>
      </c>
      <c r="G1077" s="748">
        <v>1.5468607825295723E-2</v>
      </c>
      <c r="H1077" s="748">
        <v>1.3695808876531768E-2</v>
      </c>
      <c r="I1077" s="748">
        <v>1.0255776597059186E-2</v>
      </c>
      <c r="J1077" s="748">
        <v>6.2463683904706562E-3</v>
      </c>
      <c r="K1077" s="748">
        <v>4.7089847428894334E-3</v>
      </c>
      <c r="L1077" s="747"/>
      <c r="M1077" s="747"/>
      <c r="N1077" s="747"/>
      <c r="O1077" s="747"/>
      <c r="P1077" s="747"/>
      <c r="Q1077" s="747"/>
      <c r="R1077" s="380"/>
    </row>
    <row r="1078" spans="1:18" s="750" customFormat="1" ht="16.350000000000001" customHeight="1" outlineLevel="1">
      <c r="A1078" s="344"/>
      <c r="B1078" s="746" t="s">
        <v>816</v>
      </c>
      <c r="C1078" s="747"/>
      <c r="D1078" s="748">
        <v>0.16587858035762812</v>
      </c>
      <c r="E1078" s="748">
        <v>0.1651987767584098</v>
      </c>
      <c r="F1078" s="748">
        <v>0.15328259477914502</v>
      </c>
      <c r="G1078" s="748">
        <v>0.14782033253370833</v>
      </c>
      <c r="H1078" s="748">
        <v>0.14056224899598393</v>
      </c>
      <c r="I1078" s="748">
        <v>0.13320153218831088</v>
      </c>
      <c r="J1078" s="748">
        <v>0.1272515979081929</v>
      </c>
      <c r="K1078" s="748">
        <v>0.11828969674138255</v>
      </c>
      <c r="L1078" s="747"/>
      <c r="M1078" s="747"/>
      <c r="N1078" s="747"/>
      <c r="O1078" s="747"/>
      <c r="P1078" s="747"/>
      <c r="Q1078" s="747"/>
      <c r="R1078" s="380"/>
    </row>
    <row r="1079" spans="1:18" s="750" customFormat="1" ht="16.350000000000001" customHeight="1" outlineLevel="1">
      <c r="A1079" s="344"/>
      <c r="B1079" s="746" t="s">
        <v>817</v>
      </c>
      <c r="C1079" s="747"/>
      <c r="D1079" s="748">
        <v>0.11016903092559378</v>
      </c>
      <c r="E1079" s="748">
        <v>0.11168195718654435</v>
      </c>
      <c r="F1079" s="748">
        <v>0.11316594352372146</v>
      </c>
      <c r="G1079" s="748">
        <v>0.11274712548597898</v>
      </c>
      <c r="H1079" s="748">
        <v>0.11543610338791062</v>
      </c>
      <c r="I1079" s="748">
        <v>0.11689114049178302</v>
      </c>
      <c r="J1079" s="748">
        <v>0.11940732132481116</v>
      </c>
      <c r="K1079" s="748">
        <v>0.12092672819740063</v>
      </c>
      <c r="L1079" s="747"/>
      <c r="M1079" s="747"/>
      <c r="N1079" s="747"/>
      <c r="O1079" s="747"/>
      <c r="P1079" s="747"/>
      <c r="Q1079" s="747"/>
      <c r="R1079" s="380"/>
    </row>
    <row r="1080" spans="1:18" s="750" customFormat="1" ht="16.350000000000001" customHeight="1" outlineLevel="1">
      <c r="A1080" s="344"/>
      <c r="B1080" s="746" t="s">
        <v>818</v>
      </c>
      <c r="C1080" s="747"/>
      <c r="D1080" s="748">
        <v>0.13734442089243981</v>
      </c>
      <c r="E1080" s="748">
        <v>0.14128440366972478</v>
      </c>
      <c r="F1080" s="748">
        <v>0.14488939469379045</v>
      </c>
      <c r="G1080" s="748">
        <v>0.14475969889982629</v>
      </c>
      <c r="H1080" s="748">
        <v>0.14674080939141179</v>
      </c>
      <c r="I1080" s="748">
        <v>0.15507228469047324</v>
      </c>
      <c r="J1080" s="748">
        <v>0.16109819872167344</v>
      </c>
      <c r="K1080" s="748">
        <v>0.15520813712563572</v>
      </c>
      <c r="L1080" s="747"/>
      <c r="M1080" s="747"/>
      <c r="N1080" s="747"/>
      <c r="O1080" s="747"/>
      <c r="P1080" s="747"/>
      <c r="Q1080" s="747"/>
      <c r="R1080" s="380"/>
    </row>
    <row r="1081" spans="1:18" s="750" customFormat="1" ht="16.350000000000001" customHeight="1" outlineLevel="1">
      <c r="A1081" s="344"/>
      <c r="B1081" s="746" t="s">
        <v>819</v>
      </c>
      <c r="C1081" s="747"/>
      <c r="D1081" s="748">
        <v>0.10614707321050057</v>
      </c>
      <c r="E1081" s="748">
        <v>0.10587155963302752</v>
      </c>
      <c r="F1081" s="748">
        <v>0.10420371292410556</v>
      </c>
      <c r="G1081" s="748">
        <v>0.10703945735792869</v>
      </c>
      <c r="H1081" s="748">
        <v>0.10730099886726392</v>
      </c>
      <c r="I1081" s="748">
        <v>0.11046583467193871</v>
      </c>
      <c r="J1081" s="748">
        <v>0.11069145845438698</v>
      </c>
      <c r="K1081" s="748">
        <v>0.11188547749105293</v>
      </c>
      <c r="L1081" s="747"/>
      <c r="M1081" s="747"/>
      <c r="N1081" s="747"/>
      <c r="O1081" s="747"/>
      <c r="P1081" s="747"/>
      <c r="Q1081" s="747"/>
      <c r="R1081" s="380"/>
    </row>
    <row r="1082" spans="1:18" s="750" customFormat="1" ht="16.350000000000001" customHeight="1" outlineLevel="1">
      <c r="A1082" s="344"/>
      <c r="B1082" s="746" t="s">
        <v>820</v>
      </c>
      <c r="C1082" s="747"/>
      <c r="D1082" s="748">
        <v>0.10027718897766183</v>
      </c>
      <c r="E1082" s="748">
        <v>0.10159021406727829</v>
      </c>
      <c r="F1082" s="748">
        <v>0.10626644853830286</v>
      </c>
      <c r="G1082" s="748">
        <v>0.10985193150798246</v>
      </c>
      <c r="H1082" s="748">
        <v>0.10987539903202553</v>
      </c>
      <c r="I1082" s="748">
        <v>0.11367848758186087</v>
      </c>
      <c r="J1082" s="748">
        <v>0.11926205694363742</v>
      </c>
      <c r="K1082" s="748">
        <v>0.12544735355057449</v>
      </c>
      <c r="L1082" s="747"/>
      <c r="M1082" s="747"/>
      <c r="N1082" s="747"/>
      <c r="O1082" s="747"/>
      <c r="P1082" s="747"/>
      <c r="Q1082" s="747"/>
      <c r="R1082" s="380"/>
    </row>
    <row r="1083" spans="1:18" s="750" customFormat="1" ht="16.350000000000001" customHeight="1" outlineLevel="1">
      <c r="A1083" s="344"/>
      <c r="B1083" s="746" t="s">
        <v>821</v>
      </c>
      <c r="C1083" s="747"/>
      <c r="D1083" s="748">
        <v>0.38018370563617587</v>
      </c>
      <c r="E1083" s="748">
        <v>0.37437308868501529</v>
      </c>
      <c r="F1083" s="748">
        <v>0.37819190554093463</v>
      </c>
      <c r="G1083" s="748">
        <v>0.37778145421457521</v>
      </c>
      <c r="H1083" s="748">
        <v>0.38008444032540417</v>
      </c>
      <c r="I1083" s="748">
        <v>0.37069072037563328</v>
      </c>
      <c r="J1083" s="748">
        <v>0.36228936664729811</v>
      </c>
      <c r="K1083" s="748">
        <v>0.36824260689395366</v>
      </c>
      <c r="L1083" s="747"/>
      <c r="M1083" s="747"/>
      <c r="N1083" s="747"/>
      <c r="O1083" s="747"/>
      <c r="P1083" s="747"/>
      <c r="Q1083" s="747"/>
      <c r="R1083" s="380"/>
    </row>
    <row r="1084" spans="1:18" s="750" customFormat="1" ht="16.350000000000001" customHeight="1" outlineLevel="1">
      <c r="A1084" s="344"/>
      <c r="B1084" s="746"/>
      <c r="C1084" s="747"/>
      <c r="D1084" s="1046"/>
      <c r="E1084" s="1046"/>
      <c r="F1084" s="1046"/>
      <c r="G1084" s="1046"/>
      <c r="H1084" s="1046"/>
      <c r="I1084" s="1046"/>
      <c r="J1084" s="1046"/>
      <c r="K1084" s="1046"/>
      <c r="L1084" s="1047"/>
      <c r="M1084" s="1047"/>
      <c r="N1084" s="1047"/>
      <c r="O1084" s="1047"/>
      <c r="P1084" s="1047"/>
      <c r="Q1084" s="1047"/>
      <c r="R1084" s="380"/>
    </row>
    <row r="1085" spans="1:18" s="635" customFormat="1" ht="16.350000000000001" customHeight="1" outlineLevel="1">
      <c r="A1085" s="339"/>
      <c r="B1085" s="632" t="s">
        <v>720</v>
      </c>
      <c r="C1085" s="633"/>
      <c r="D1085" s="691">
        <f t="shared" ref="D1085:Q1085" si="145">D993+D899+D806</f>
        <v>4369946000</v>
      </c>
      <c r="E1085" s="691">
        <f t="shared" si="145"/>
        <v>4040500000</v>
      </c>
      <c r="F1085" s="691">
        <f t="shared" si="145"/>
        <v>3817130000</v>
      </c>
      <c r="G1085" s="691">
        <f t="shared" si="145"/>
        <v>3376860000</v>
      </c>
      <c r="H1085" s="691">
        <f t="shared" si="145"/>
        <v>2944120000</v>
      </c>
      <c r="I1085" s="691">
        <f t="shared" si="145"/>
        <v>2465050000</v>
      </c>
      <c r="J1085" s="691">
        <f t="shared" si="145"/>
        <v>2033430000</v>
      </c>
      <c r="K1085" s="691">
        <f t="shared" si="145"/>
        <v>1644430000</v>
      </c>
      <c r="L1085" s="691">
        <f t="shared" si="145"/>
        <v>1301910000</v>
      </c>
      <c r="M1085" s="691">
        <f t="shared" si="145"/>
        <v>1013440000</v>
      </c>
      <c r="N1085" s="691">
        <f t="shared" si="145"/>
        <v>860340000</v>
      </c>
      <c r="O1085" s="691">
        <f t="shared" si="145"/>
        <v>765160000</v>
      </c>
      <c r="P1085" s="691">
        <f t="shared" si="145"/>
        <v>640100000</v>
      </c>
      <c r="Q1085" s="691">
        <f t="shared" si="145"/>
        <v>469300000</v>
      </c>
      <c r="R1085" s="220"/>
    </row>
    <row r="1086" spans="1:18" s="894" customFormat="1" ht="16.350000000000001" customHeight="1" outlineLevel="1">
      <c r="A1086" s="888"/>
      <c r="B1086" s="1048" t="s">
        <v>805</v>
      </c>
      <c r="C1086" s="1049"/>
      <c r="D1086" s="1050">
        <v>8.4900000000000003E-2</v>
      </c>
      <c r="E1086" s="1050">
        <v>3.6400000000000002E-2</v>
      </c>
      <c r="F1086" s="1050">
        <v>0.16600000000000001</v>
      </c>
      <c r="G1086" s="1050">
        <v>0.1565</v>
      </c>
      <c r="H1086" s="1050">
        <v>0.17699999999999999</v>
      </c>
      <c r="I1086" s="1050">
        <v>0.2185</v>
      </c>
      <c r="J1086" s="1050">
        <v>0.24829999999999999</v>
      </c>
      <c r="K1086" s="1050">
        <v>0.3236</v>
      </c>
      <c r="L1086" s="1050">
        <v>0.22770000000000001</v>
      </c>
      <c r="M1086" s="1050">
        <v>0.152</v>
      </c>
      <c r="N1086" s="1050">
        <v>0.11799999999999999</v>
      </c>
      <c r="O1086" s="1050">
        <v>0.28281363306744023</v>
      </c>
      <c r="P1086" s="1050">
        <v>0.43149999999999999</v>
      </c>
      <c r="Q1086" s="1051"/>
      <c r="R1086" s="893"/>
    </row>
    <row r="1087" spans="1:18" s="894" customFormat="1" ht="16.350000000000001" customHeight="1" outlineLevel="1">
      <c r="A1087" s="888"/>
      <c r="B1087" s="1048" t="s">
        <v>806</v>
      </c>
      <c r="C1087" s="1049"/>
      <c r="D1087" s="1050">
        <v>9.6000000000000002E-2</v>
      </c>
      <c r="E1087" s="1050">
        <v>4.8399999999999999E-2</v>
      </c>
      <c r="F1087" s="1050">
        <v>0.14080000000000001</v>
      </c>
      <c r="G1087" s="1050">
        <v>0.1537</v>
      </c>
      <c r="H1087" s="1050">
        <v>0.1908</v>
      </c>
      <c r="I1087" s="1050">
        <v>0.23180000000000001</v>
      </c>
      <c r="J1087" s="1050">
        <v>0.23169999999999999</v>
      </c>
      <c r="K1087" s="1050">
        <v>0.28589999999999999</v>
      </c>
      <c r="L1087" s="1050">
        <v>0.28410000000000002</v>
      </c>
      <c r="M1087" s="1050">
        <v>0.1671</v>
      </c>
      <c r="N1087" s="1050">
        <v>9.6847662922511457E-2</v>
      </c>
      <c r="O1087" s="1050">
        <v>0.23325885732524743</v>
      </c>
      <c r="P1087" s="1050">
        <v>0.37159999999999999</v>
      </c>
      <c r="Q1087" s="1051"/>
      <c r="R1087" s="893"/>
    </row>
    <row r="1088" spans="1:18" s="894" customFormat="1" ht="16.350000000000001" customHeight="1" outlineLevel="1">
      <c r="A1088" s="888"/>
      <c r="B1088" s="1048" t="s">
        <v>807</v>
      </c>
      <c r="C1088" s="1049"/>
      <c r="D1088" s="1050">
        <v>8.8416040035541946E-2</v>
      </c>
      <c r="E1088" s="1050">
        <v>5.9299999999999999E-2</v>
      </c>
      <c r="F1088" s="1050">
        <v>0.14180000000000001</v>
      </c>
      <c r="G1088" s="1050">
        <v>0.1386</v>
      </c>
      <c r="H1088" s="1050">
        <v>0.21240000000000001</v>
      </c>
      <c r="I1088" s="1050">
        <v>0.2054</v>
      </c>
      <c r="J1088" s="1050">
        <v>0.2351</v>
      </c>
      <c r="K1088" s="1050">
        <v>0.22500000000000001</v>
      </c>
      <c r="L1088" s="1050">
        <v>0.307</v>
      </c>
      <c r="M1088" s="1050">
        <v>0.1895</v>
      </c>
      <c r="N1088" s="1050">
        <v>0.11803760579798284</v>
      </c>
      <c r="O1088" s="1050">
        <v>0.17011813265015663</v>
      </c>
      <c r="P1088" s="1050">
        <v>0.34620000000000001</v>
      </c>
      <c r="Q1088" s="1051"/>
      <c r="R1088" s="893"/>
    </row>
    <row r="1089" spans="1:18" s="894" customFormat="1" ht="16.350000000000001" customHeight="1" outlineLevel="1">
      <c r="A1089" s="888"/>
      <c r="B1089" s="1048" t="s">
        <v>808</v>
      </c>
      <c r="C1089" s="1049"/>
      <c r="D1089" s="1050">
        <v>5.7720766365024351E-2</v>
      </c>
      <c r="E1089" s="1050">
        <v>8.8200000000000001E-2</v>
      </c>
      <c r="F1089" s="1050">
        <v>7.9100000000000004E-2</v>
      </c>
      <c r="G1089" s="1050">
        <v>0.14080000000000001</v>
      </c>
      <c r="H1089" s="1050">
        <v>0.19539999999999999</v>
      </c>
      <c r="I1089" s="1050">
        <v>0.1956</v>
      </c>
      <c r="J1089" s="1050">
        <v>0.2326</v>
      </c>
      <c r="K1089" s="1050">
        <v>0.2324</v>
      </c>
      <c r="L1089" s="1050">
        <v>0.31080000000000002</v>
      </c>
      <c r="M1089" s="1050">
        <v>0.19950000000000001</v>
      </c>
      <c r="N1089" s="1050">
        <v>0.16322815533980584</v>
      </c>
      <c r="O1089" s="1050">
        <v>0.1174396528342827</v>
      </c>
      <c r="P1089" s="1050">
        <v>0.32590000000000002</v>
      </c>
      <c r="Q1089" s="1051"/>
      <c r="R1089" s="893"/>
    </row>
    <row r="1090" spans="1:18" s="624" customFormat="1" ht="16.350000000000001" customHeight="1" outlineLevel="1">
      <c r="A1090" s="339"/>
      <c r="B1090" s="754"/>
      <c r="C1090" s="1052"/>
      <c r="D1090" s="1053"/>
      <c r="E1090" s="1053"/>
      <c r="F1090" s="1053"/>
      <c r="G1090" s="1053"/>
      <c r="H1090" s="1053"/>
      <c r="I1090" s="1053"/>
      <c r="J1090" s="1053"/>
      <c r="K1090" s="1053"/>
      <c r="L1090" s="1054"/>
      <c r="M1090" s="1054"/>
      <c r="N1090" s="1054"/>
      <c r="O1090" s="1054"/>
      <c r="P1090" s="1054"/>
      <c r="Q1090" s="1052"/>
      <c r="R1090" s="375"/>
    </row>
    <row r="1091" spans="1:18" s="624" customFormat="1" ht="16.350000000000001" customHeight="1" outlineLevel="1">
      <c r="A1091" s="339"/>
      <c r="B1091" s="760" t="s">
        <v>677</v>
      </c>
      <c r="C1091" s="1052"/>
      <c r="D1091" s="1055">
        <f>(D1085-E1085)/E1085</f>
        <v>8.1535948521222618E-2</v>
      </c>
      <c r="E1091" s="1055">
        <f>(E1085-F1085)/F1085</f>
        <v>5.85177869236835E-2</v>
      </c>
      <c r="F1091" s="1055">
        <f>(F1085-G1085)/G1085</f>
        <v>0.13037851732082467</v>
      </c>
      <c r="G1091" s="1055">
        <f>(G1085-H1085)/H1085</f>
        <v>0.14698449791448717</v>
      </c>
      <c r="H1091" s="1055">
        <f>(H1085-I1085)/I1085</f>
        <v>0.19434494229325977</v>
      </c>
      <c r="I1091" s="1055">
        <v>0.21229999999999999</v>
      </c>
      <c r="J1091" s="1055">
        <v>0.2366</v>
      </c>
      <c r="K1091" s="1055">
        <v>0.2631</v>
      </c>
      <c r="L1091" s="1055">
        <f>(L1085-M1085)/M1085</f>
        <v>0.28464437953899591</v>
      </c>
      <c r="M1091" s="1055">
        <v>0.17799999999999999</v>
      </c>
      <c r="N1091" s="1055">
        <v>0.1244</v>
      </c>
      <c r="O1091" s="1055">
        <v>0.1953</v>
      </c>
      <c r="P1091" s="1055">
        <v>0.36399999999999999</v>
      </c>
      <c r="Q1091" s="1056"/>
      <c r="R1091" s="375"/>
    </row>
    <row r="1092" spans="1:18" s="624" customFormat="1" ht="16.350000000000001" customHeight="1" outlineLevel="1">
      <c r="A1092" s="339"/>
      <c r="B1092" s="706" t="s">
        <v>721</v>
      </c>
      <c r="C1092" s="1052"/>
      <c r="D1092" s="1055">
        <f>D1085/D1085</f>
        <v>1</v>
      </c>
      <c r="E1092" s="1055">
        <f>E1085/E1085</f>
        <v>1</v>
      </c>
      <c r="F1092" s="1055">
        <f t="shared" ref="F1092:M1092" si="146">F1085/F1085</f>
        <v>1</v>
      </c>
      <c r="G1092" s="1055">
        <f t="shared" si="146"/>
        <v>1</v>
      </c>
      <c r="H1092" s="1055">
        <f t="shared" si="146"/>
        <v>1</v>
      </c>
      <c r="I1092" s="1055">
        <f t="shared" si="146"/>
        <v>1</v>
      </c>
      <c r="J1092" s="1055">
        <f t="shared" si="146"/>
        <v>1</v>
      </c>
      <c r="K1092" s="1055">
        <f t="shared" si="146"/>
        <v>1</v>
      </c>
      <c r="L1092" s="1055">
        <f t="shared" si="146"/>
        <v>1</v>
      </c>
      <c r="M1092" s="1055">
        <f t="shared" si="146"/>
        <v>1</v>
      </c>
      <c r="N1092" s="1055">
        <f>N1085/N1085</f>
        <v>1</v>
      </c>
      <c r="O1092" s="1055">
        <f>O1085/O1085</f>
        <v>1</v>
      </c>
      <c r="P1092" s="1055">
        <f>P1085/P1085</f>
        <v>1</v>
      </c>
      <c r="Q1092" s="1056"/>
      <c r="R1092" s="375"/>
    </row>
    <row r="1093" spans="1:18" s="1062" customFormat="1" ht="16.350000000000001" customHeight="1" outlineLevel="1">
      <c r="A1093" s="1057"/>
      <c r="B1093" s="1058" t="s">
        <v>722</v>
      </c>
      <c r="C1093" s="1059"/>
      <c r="D1093" s="1060">
        <f>(D1085/AVERAGE(D1042:E1042))/365</f>
        <v>1.9661560079484977</v>
      </c>
      <c r="E1093" s="1060">
        <f>(E1085/AVERAGE(E1042:F1042))/365</f>
        <v>2.0456938284143606</v>
      </c>
      <c r="F1093" s="1060">
        <f>(F1085/AVERAGE(F1042:G1042))/366</f>
        <v>2.1999552681391044</v>
      </c>
      <c r="G1093" s="1060">
        <f t="shared" ref="G1093:L1093" si="147">(G1085/AVERAGE(G1042:H1042))/365</f>
        <v>2.3116579546339024</v>
      </c>
      <c r="H1093" s="1060">
        <f t="shared" si="147"/>
        <v>2.4435194657940515</v>
      </c>
      <c r="I1093" s="1060">
        <f t="shared" si="147"/>
        <v>2.4290547485763776</v>
      </c>
      <c r="J1093" s="1060">
        <f>(J1085/AVERAGE(J1042:K1042))/366</f>
        <v>2.4586318978152812</v>
      </c>
      <c r="K1093" s="1060">
        <f t="shared" si="147"/>
        <v>2.6559889588851315</v>
      </c>
      <c r="L1093" s="1060">
        <f t="shared" si="147"/>
        <v>2.8739061031957029</v>
      </c>
      <c r="M1093" s="1060">
        <f>(M1085/AVERAGE(M1042:N1042))/365</f>
        <v>2.9484781275394991</v>
      </c>
      <c r="N1093" s="1060">
        <f>(N1085/AVERAGE(N1042:O1042))/366</f>
        <v>3.186973304958995</v>
      </c>
      <c r="O1093" s="1060">
        <f>(O1085/AVERAGE(O1042:P1042))/365</f>
        <v>3.5695133165271629</v>
      </c>
      <c r="P1093" s="1060">
        <f>(P1085/AVERAGE(P1042:Q1042))/365</f>
        <v>3.8733301237116287</v>
      </c>
      <c r="Q1093" s="1059"/>
      <c r="R1093" s="1061"/>
    </row>
    <row r="1094" spans="1:18" s="1068" customFormat="1" ht="16.350000000000001" customHeight="1" outlineLevel="1">
      <c r="A1094" s="1063"/>
      <c r="B1094" s="1064" t="s">
        <v>723</v>
      </c>
      <c r="C1094" s="1065"/>
      <c r="D1094" s="1066">
        <f>D1048/D1085</f>
        <v>278.45910979220338</v>
      </c>
      <c r="E1094" s="1066">
        <f>E1048/E1085</f>
        <v>279.94384358371491</v>
      </c>
      <c r="F1094" s="1066">
        <f t="shared" ref="F1094:L1094" si="148">(F1048/F1085)</f>
        <v>280.10726645411603</v>
      </c>
      <c r="G1094" s="1066">
        <f t="shared" si="148"/>
        <v>280.67523971973964</v>
      </c>
      <c r="H1094" s="1066">
        <f t="shared" si="148"/>
        <v>259.06597217504719</v>
      </c>
      <c r="I1094" s="1066">
        <f t="shared" si="148"/>
        <v>235.09806291961624</v>
      </c>
      <c r="J1094" s="1066">
        <f t="shared" si="148"/>
        <v>220.5564932158963</v>
      </c>
      <c r="K1094" s="1066">
        <f t="shared" si="148"/>
        <v>204.08736765931053</v>
      </c>
      <c r="L1094" s="1066">
        <f t="shared" si="148"/>
        <v>181.40339962055748</v>
      </c>
      <c r="M1094" s="1066">
        <f>(M1048/M1085)</f>
        <v>167.35526523523839</v>
      </c>
      <c r="N1094" s="1066">
        <f>(N1048/N1085)</f>
        <v>153.86940046958179</v>
      </c>
      <c r="O1094" s="1066">
        <f>(O1048/O1085)</f>
        <v>121.93005384494747</v>
      </c>
      <c r="P1094" s="1066"/>
      <c r="Q1094" s="1065"/>
      <c r="R1094" s="1067"/>
    </row>
    <row r="1095" spans="1:18" s="624" customFormat="1" ht="16.350000000000001" customHeight="1" outlineLevel="1">
      <c r="A1095" s="339"/>
      <c r="B1095" s="779"/>
      <c r="C1095" s="1069"/>
      <c r="D1095" s="1070"/>
      <c r="E1095" s="1070"/>
      <c r="F1095" s="1070"/>
      <c r="G1095" s="1070"/>
      <c r="H1095" s="1070"/>
      <c r="I1095" s="1070"/>
      <c r="J1095" s="1070"/>
      <c r="K1095" s="1070"/>
      <c r="L1095" s="1069"/>
      <c r="M1095" s="1069"/>
      <c r="N1095" s="1069"/>
      <c r="O1095" s="1069"/>
      <c r="P1095" s="1069"/>
      <c r="Q1095" s="1071"/>
      <c r="R1095" s="375"/>
    </row>
    <row r="1096" spans="1:18" s="787" customFormat="1" ht="16.350000000000001" customHeight="1" outlineLevel="1">
      <c r="A1096" s="1072"/>
      <c r="B1096" s="1073" t="s">
        <v>822</v>
      </c>
      <c r="C1096" s="783"/>
      <c r="D1096" s="652">
        <f>D1097+D1098+D1099+D1100+D1101</f>
        <v>295936</v>
      </c>
      <c r="E1096" s="652">
        <f>E1097+E1098+E1099+E1100+E1101</f>
        <v>276290</v>
      </c>
      <c r="F1096" s="652">
        <f t="shared" ref="F1096:N1096" si="149">F1097+F1098+F1099+F1100+F1101</f>
        <v>271369</v>
      </c>
      <c r="G1096" s="652">
        <f t="shared" si="149"/>
        <v>265982</v>
      </c>
      <c r="H1096" s="652">
        <f t="shared" si="149"/>
        <v>257551</v>
      </c>
      <c r="I1096" s="652">
        <f t="shared" si="149"/>
        <v>217258</v>
      </c>
      <c r="J1096" s="652">
        <f t="shared" si="149"/>
        <v>181429</v>
      </c>
      <c r="K1096" s="652">
        <f t="shared" si="149"/>
        <v>144520</v>
      </c>
      <c r="L1096" s="652">
        <f t="shared" si="149"/>
        <v>123054</v>
      </c>
      <c r="M1096" s="652">
        <f t="shared" si="149"/>
        <v>77944</v>
      </c>
      <c r="N1096" s="652">
        <f t="shared" si="149"/>
        <v>73270</v>
      </c>
      <c r="O1096" s="652">
        <v>58978</v>
      </c>
      <c r="P1096" s="652">
        <v>44295</v>
      </c>
      <c r="Q1096" s="1074">
        <v>34186</v>
      </c>
      <c r="R1096" s="1075"/>
    </row>
    <row r="1097" spans="1:18" s="187" customFormat="1" ht="16.350000000000001" customHeight="1" outlineLevel="1">
      <c r="A1097" s="344"/>
      <c r="B1097" s="1076" t="s">
        <v>823</v>
      </c>
      <c r="C1097" s="1077"/>
      <c r="D1097" s="1078">
        <v>220350</v>
      </c>
      <c r="E1097" s="1078">
        <v>202497</v>
      </c>
      <c r="F1097" s="1078">
        <v>200233</v>
      </c>
      <c r="G1097" s="1078">
        <v>194723</v>
      </c>
      <c r="H1097" s="1078">
        <v>184680</v>
      </c>
      <c r="I1097" s="1078">
        <v>150464</v>
      </c>
      <c r="J1097" s="1078">
        <v>126714</v>
      </c>
      <c r="K1097" s="1078">
        <v>103127</v>
      </c>
      <c r="L1097" s="1078">
        <v>89926</v>
      </c>
      <c r="M1097" s="1078">
        <v>60307</v>
      </c>
      <c r="N1097" s="1078">
        <v>55739</v>
      </c>
      <c r="O1097" s="1078">
        <v>43721</v>
      </c>
      <c r="P1097" s="1078">
        <v>33579</v>
      </c>
      <c r="Q1097" s="1078">
        <v>26541</v>
      </c>
      <c r="R1097" s="1079"/>
    </row>
    <row r="1098" spans="1:18" s="187" customFormat="1" ht="16.350000000000001" customHeight="1" outlineLevel="1">
      <c r="A1098" s="344"/>
      <c r="B1098" s="1076" t="s">
        <v>824</v>
      </c>
      <c r="C1098" s="1077"/>
      <c r="D1098" s="1078">
        <v>35982</v>
      </c>
      <c r="E1098" s="1078">
        <v>36461</v>
      </c>
      <c r="F1098" s="1078">
        <v>35651</v>
      </c>
      <c r="G1098" s="1078">
        <v>40369</v>
      </c>
      <c r="H1098" s="1078">
        <v>45081</v>
      </c>
      <c r="I1098" s="1078">
        <v>43523</v>
      </c>
      <c r="J1098" s="1078">
        <v>33714</v>
      </c>
      <c r="K1098" s="1078">
        <v>25344</v>
      </c>
      <c r="L1098" s="1078">
        <v>22494</v>
      </c>
      <c r="M1098" s="1078">
        <v>10947</v>
      </c>
      <c r="N1098" s="1078">
        <v>10699</v>
      </c>
      <c r="O1098" s="1078">
        <v>8174</v>
      </c>
      <c r="P1098" s="1078">
        <v>6494</v>
      </c>
      <c r="Q1098" s="1078">
        <v>4524</v>
      </c>
      <c r="R1098" s="1079"/>
    </row>
    <row r="1099" spans="1:18" s="187" customFormat="1" ht="16.350000000000001" customHeight="1" outlineLevel="1">
      <c r="A1099" s="344"/>
      <c r="B1099" s="1076" t="s">
        <v>825</v>
      </c>
      <c r="C1099" s="1077"/>
      <c r="D1099" s="1078">
        <v>24427</v>
      </c>
      <c r="E1099" s="1078">
        <v>22162</v>
      </c>
      <c r="F1099" s="1078">
        <v>21654</v>
      </c>
      <c r="G1099" s="1078">
        <v>19108</v>
      </c>
      <c r="H1099" s="1078">
        <v>18229</v>
      </c>
      <c r="I1099" s="1078">
        <v>15250</v>
      </c>
      <c r="J1099" s="1078">
        <v>14812</v>
      </c>
      <c r="K1099" s="1078">
        <v>11222</v>
      </c>
      <c r="L1099" s="1078">
        <v>7281</v>
      </c>
      <c r="M1099" s="1078">
        <v>4548</v>
      </c>
      <c r="N1099" s="1078">
        <v>5075</v>
      </c>
      <c r="O1099" s="1078">
        <v>5670</v>
      </c>
      <c r="P1099" s="1078">
        <v>3299</v>
      </c>
      <c r="Q1099" s="1078">
        <v>2589</v>
      </c>
      <c r="R1099" s="1079"/>
    </row>
    <row r="1100" spans="1:18" s="187" customFormat="1" ht="16.350000000000001" customHeight="1" outlineLevel="1">
      <c r="A1100" s="344"/>
      <c r="B1100" s="1076" t="s">
        <v>826</v>
      </c>
      <c r="C1100" s="1077"/>
      <c r="D1100" s="1078">
        <v>11347</v>
      </c>
      <c r="E1100" s="1078">
        <v>11992</v>
      </c>
      <c r="F1100" s="1078">
        <v>11151</v>
      </c>
      <c r="G1100" s="1078">
        <v>9342</v>
      </c>
      <c r="H1100" s="1078">
        <v>9561</v>
      </c>
      <c r="I1100" s="1078">
        <v>8021</v>
      </c>
      <c r="J1100" s="1078">
        <v>6189</v>
      </c>
      <c r="K1100" s="1078">
        <v>4827</v>
      </c>
      <c r="L1100" s="1078">
        <v>3353</v>
      </c>
      <c r="M1100" s="1078">
        <v>2142</v>
      </c>
      <c r="N1100" s="1078">
        <v>1757</v>
      </c>
      <c r="O1100" s="1078">
        <v>1413</v>
      </c>
      <c r="P1100" s="1078">
        <v>923</v>
      </c>
      <c r="Q1100" s="1078">
        <v>532</v>
      </c>
      <c r="R1100" s="1079"/>
    </row>
    <row r="1101" spans="1:18" s="187" customFormat="1" ht="16.350000000000001" customHeight="1" outlineLevel="1">
      <c r="A1101" s="344"/>
      <c r="B1101" s="1076" t="s">
        <v>827</v>
      </c>
      <c r="C1101" s="1077"/>
      <c r="D1101" s="1078">
        <v>3830</v>
      </c>
      <c r="E1101" s="1078">
        <v>3178</v>
      </c>
      <c r="F1101" s="1078">
        <v>2680</v>
      </c>
      <c r="G1101" s="1078">
        <v>2440</v>
      </c>
      <c r="H1101" s="1078">
        <v>0</v>
      </c>
      <c r="I1101" s="1078">
        <v>0</v>
      </c>
      <c r="J1101" s="1078">
        <v>0</v>
      </c>
      <c r="K1101" s="1078">
        <v>0</v>
      </c>
      <c r="L1101" s="1078">
        <v>0</v>
      </c>
      <c r="M1101" s="1078">
        <v>0</v>
      </c>
      <c r="N1101" s="1078">
        <v>0</v>
      </c>
      <c r="O1101" s="1078">
        <v>0</v>
      </c>
      <c r="P1101" s="1078">
        <v>0</v>
      </c>
      <c r="Q1101" s="1078">
        <v>0</v>
      </c>
      <c r="R1101" s="1079"/>
    </row>
    <row r="1102" spans="1:18" s="1085" customFormat="1" ht="16.350000000000001" customHeight="1" outlineLevel="1">
      <c r="A1102" s="1080"/>
      <c r="B1102" s="1081" t="s">
        <v>677</v>
      </c>
      <c r="C1102" s="1082"/>
      <c r="D1102" s="1083">
        <f>(D1096-E1096)/E1096</f>
        <v>7.1106446125447906E-2</v>
      </c>
      <c r="E1102" s="1083">
        <f>(E1096-F1096)/F1096</f>
        <v>1.8133979931384939E-2</v>
      </c>
      <c r="F1102" s="1083">
        <f t="shared" ref="F1102:P1102" si="150">(F1096-G1096)/G1096</f>
        <v>2.0253250219939695E-2</v>
      </c>
      <c r="G1102" s="1083">
        <f t="shared" si="150"/>
        <v>3.273526408361839E-2</v>
      </c>
      <c r="H1102" s="1083">
        <f t="shared" si="150"/>
        <v>0.18546152500713436</v>
      </c>
      <c r="I1102" s="1083">
        <f t="shared" si="150"/>
        <v>0.1974822106719433</v>
      </c>
      <c r="J1102" s="1083">
        <f t="shared" si="150"/>
        <v>0.25539025740381954</v>
      </c>
      <c r="K1102" s="1083">
        <f t="shared" si="150"/>
        <v>0.1744437401466023</v>
      </c>
      <c r="L1102" s="1083">
        <f t="shared" si="150"/>
        <v>0.5787488453248486</v>
      </c>
      <c r="M1102" s="1083">
        <f t="shared" si="150"/>
        <v>6.3791456257677084E-2</v>
      </c>
      <c r="N1102" s="1083">
        <f t="shared" si="150"/>
        <v>0.24232764759740921</v>
      </c>
      <c r="O1102" s="1083">
        <f t="shared" si="150"/>
        <v>0.33148210859013433</v>
      </c>
      <c r="P1102" s="1083">
        <f t="shared" si="150"/>
        <v>0.29570584449774762</v>
      </c>
      <c r="Q1102" s="1083"/>
      <c r="R1102" s="1084"/>
    </row>
    <row r="1103" spans="1:18" s="885" customFormat="1" ht="16.350000000000001" customHeight="1" outlineLevel="1">
      <c r="A1103" s="344"/>
      <c r="B1103" s="1086"/>
      <c r="C1103" s="1087"/>
      <c r="D1103" s="1087"/>
      <c r="E1103" s="1087"/>
      <c r="F1103" s="1087"/>
      <c r="G1103" s="1087"/>
      <c r="H1103" s="1087"/>
      <c r="I1103" s="1087"/>
      <c r="J1103" s="1087"/>
      <c r="K1103" s="1087"/>
      <c r="L1103" s="1087"/>
      <c r="M1103" s="1087"/>
      <c r="N1103" s="1087"/>
      <c r="O1103" s="1087"/>
      <c r="P1103" s="1087"/>
      <c r="Q1103" s="1087"/>
      <c r="R1103" s="882"/>
    </row>
    <row r="1104" spans="1:18" s="624" customFormat="1" ht="16.350000000000001" customHeight="1" outlineLevel="1">
      <c r="A1104" s="339"/>
      <c r="B1104" s="1088" t="s">
        <v>828</v>
      </c>
      <c r="C1104" s="622"/>
      <c r="D1104" s="622">
        <v>5900</v>
      </c>
      <c r="E1104" s="622">
        <v>5900</v>
      </c>
      <c r="F1104" s="622">
        <v>5800</v>
      </c>
      <c r="G1104" s="622">
        <v>5800</v>
      </c>
      <c r="H1104" s="623">
        <v>5000</v>
      </c>
      <c r="I1104" s="623">
        <v>5451</v>
      </c>
      <c r="J1104" s="623"/>
      <c r="K1104" s="623"/>
      <c r="L1104" s="623"/>
      <c r="M1104" s="623"/>
      <c r="N1104" s="623"/>
      <c r="O1104" s="623"/>
      <c r="P1104" s="623"/>
      <c r="Q1104" s="623"/>
      <c r="R1104" s="375"/>
    </row>
    <row r="1105" spans="1:87" s="624" customFormat="1" ht="16.350000000000001" customHeight="1" outlineLevel="1">
      <c r="A1105" s="339"/>
      <c r="B1105" s="1088"/>
      <c r="C1105" s="622"/>
      <c r="D1105" s="622"/>
      <c r="E1105" s="622"/>
      <c r="F1105" s="622"/>
      <c r="G1105" s="622"/>
      <c r="H1105" s="623"/>
      <c r="I1105" s="623"/>
      <c r="J1105" s="623"/>
      <c r="K1105" s="623"/>
      <c r="L1105" s="623"/>
      <c r="M1105" s="623"/>
      <c r="N1105" s="623"/>
      <c r="O1105" s="623"/>
      <c r="P1105" s="623"/>
      <c r="Q1105" s="623"/>
      <c r="R1105" s="375"/>
    </row>
    <row r="1106" spans="1:87" s="990" customFormat="1" ht="16.350000000000001" customHeight="1" outlineLevel="1">
      <c r="A1106" s="696"/>
      <c r="B1106" s="1089" t="s">
        <v>829</v>
      </c>
      <c r="C1106" s="622"/>
      <c r="D1106" s="622">
        <v>1644617.84</v>
      </c>
      <c r="E1106" s="622">
        <v>1639604.0400000003</v>
      </c>
      <c r="F1106" s="622">
        <v>1505338</v>
      </c>
      <c r="G1106" s="622">
        <v>1291631</v>
      </c>
      <c r="H1106" s="622">
        <v>908926</v>
      </c>
      <c r="I1106" s="622">
        <v>634997</v>
      </c>
      <c r="J1106" s="622">
        <v>460603</v>
      </c>
      <c r="K1106" s="623">
        <v>323431</v>
      </c>
      <c r="L1106" s="623">
        <v>233432</v>
      </c>
      <c r="M1106" s="623">
        <v>186695</v>
      </c>
      <c r="N1106" s="623">
        <v>175872</v>
      </c>
      <c r="O1106" s="623">
        <v>138380</v>
      </c>
      <c r="P1106" s="623">
        <v>100193</v>
      </c>
      <c r="Q1106" s="623">
        <v>62000</v>
      </c>
      <c r="R1106" s="375"/>
    </row>
    <row r="1107" spans="1:87" s="624" customFormat="1" ht="16.350000000000001" customHeight="1" outlineLevel="1">
      <c r="A1107" s="339"/>
      <c r="B1107" s="1088" t="s">
        <v>830</v>
      </c>
      <c r="C1107" s="617"/>
      <c r="D1107" s="617">
        <v>37</v>
      </c>
      <c r="E1107" s="617">
        <v>37</v>
      </c>
      <c r="F1107" s="617">
        <v>35</v>
      </c>
      <c r="G1107" s="617">
        <v>33</v>
      </c>
      <c r="H1107" s="1090">
        <v>27</v>
      </c>
      <c r="I1107" s="1090">
        <v>22</v>
      </c>
      <c r="J1107" s="1090">
        <v>18</v>
      </c>
      <c r="K1107" s="1090">
        <v>14</v>
      </c>
      <c r="L1107" s="623">
        <v>11</v>
      </c>
      <c r="M1107" s="623">
        <v>9</v>
      </c>
      <c r="N1107" s="623">
        <v>9</v>
      </c>
      <c r="O1107" s="623">
        <v>8</v>
      </c>
      <c r="P1107" s="623">
        <v>6</v>
      </c>
      <c r="Q1107" s="623">
        <v>5</v>
      </c>
      <c r="R1107" s="375"/>
    </row>
    <row r="1108" spans="1:87" s="620" customFormat="1" ht="16.350000000000001" customHeight="1" outlineLevel="1">
      <c r="A1108" s="339"/>
      <c r="B1108" s="1091" t="s">
        <v>831</v>
      </c>
      <c r="C1108" s="617"/>
      <c r="D1108" s="617">
        <f t="shared" ref="D1108:O1108" si="151">D1107-E1107</f>
        <v>0</v>
      </c>
      <c r="E1108" s="617">
        <f t="shared" si="151"/>
        <v>2</v>
      </c>
      <c r="F1108" s="617">
        <f t="shared" si="151"/>
        <v>2</v>
      </c>
      <c r="G1108" s="617">
        <f t="shared" si="151"/>
        <v>6</v>
      </c>
      <c r="H1108" s="617">
        <f t="shared" si="151"/>
        <v>5</v>
      </c>
      <c r="I1108" s="617">
        <f t="shared" si="151"/>
        <v>4</v>
      </c>
      <c r="J1108" s="617">
        <f t="shared" si="151"/>
        <v>4</v>
      </c>
      <c r="K1108" s="617">
        <f t="shared" si="151"/>
        <v>3</v>
      </c>
      <c r="L1108" s="617">
        <f t="shared" si="151"/>
        <v>2</v>
      </c>
      <c r="M1108" s="617">
        <f t="shared" si="151"/>
        <v>0</v>
      </c>
      <c r="N1108" s="617">
        <f t="shared" si="151"/>
        <v>1</v>
      </c>
      <c r="O1108" s="617">
        <f t="shared" si="151"/>
        <v>2</v>
      </c>
      <c r="P1108" s="617">
        <v>1</v>
      </c>
      <c r="Q1108" s="1090"/>
      <c r="R1108" s="255"/>
    </row>
    <row r="1109" spans="1:87" s="620" customFormat="1" ht="16.350000000000001" customHeight="1" outlineLevel="1">
      <c r="A1109" s="339"/>
      <c r="B1109" s="616"/>
      <c r="C1109" s="1092"/>
      <c r="D1109" s="617"/>
      <c r="E1109" s="617"/>
      <c r="F1109" s="617"/>
      <c r="G1109" s="617"/>
      <c r="H1109" s="617"/>
      <c r="I1109" s="617"/>
      <c r="J1109" s="617"/>
      <c r="K1109" s="617"/>
      <c r="L1109" s="617"/>
      <c r="M1109" s="617"/>
      <c r="N1109" s="617"/>
      <c r="O1109" s="617"/>
      <c r="P1109" s="617"/>
      <c r="Q1109" s="1090"/>
      <c r="R1109" s="375"/>
    </row>
    <row r="1110" spans="1:87" s="1094" customFormat="1" ht="16.350000000000001" customHeight="1" outlineLevel="1">
      <c r="A1110" s="696"/>
      <c r="B1110" s="1093" t="s">
        <v>832</v>
      </c>
      <c r="C1110" s="1052"/>
      <c r="D1110" s="622">
        <v>5897</v>
      </c>
      <c r="E1110" s="622">
        <v>6089</v>
      </c>
      <c r="F1110" s="622">
        <v>5713</v>
      </c>
      <c r="G1110" s="622">
        <v>5882</v>
      </c>
      <c r="H1110" s="622">
        <v>5938</v>
      </c>
      <c r="I1110" s="622">
        <v>5577</v>
      </c>
      <c r="J1110" s="622">
        <v>4401</v>
      </c>
      <c r="K1110" s="622">
        <v>3906</v>
      </c>
      <c r="L1110" s="622">
        <v>2642</v>
      </c>
      <c r="M1110" s="622">
        <v>1453</v>
      </c>
      <c r="N1110" s="622">
        <v>1165</v>
      </c>
      <c r="O1110" s="622">
        <v>802</v>
      </c>
      <c r="P1110" s="622">
        <v>730</v>
      </c>
      <c r="Q1110" s="622"/>
      <c r="R1110" s="375"/>
    </row>
    <row r="1111" spans="1:87" s="1094" customFormat="1" ht="16.350000000000001" customHeight="1" outlineLevel="1">
      <c r="A1111" s="696"/>
      <c r="B1111" s="1093" t="s">
        <v>833</v>
      </c>
      <c r="C1111" s="1052"/>
      <c r="D1111" s="758">
        <v>0.8933121506343954</v>
      </c>
      <c r="E1111" s="758">
        <v>0.87662130075144507</v>
      </c>
      <c r="F1111" s="758">
        <v>0.87</v>
      </c>
      <c r="G1111" s="758">
        <v>0.87</v>
      </c>
      <c r="H1111" s="758">
        <v>0.86</v>
      </c>
      <c r="I1111" s="758">
        <v>0.85</v>
      </c>
      <c r="J1111" s="758">
        <v>0.84</v>
      </c>
      <c r="K1111" s="758">
        <v>0.82</v>
      </c>
      <c r="L1111" s="758">
        <v>0.79</v>
      </c>
      <c r="M1111" s="758">
        <v>0.75</v>
      </c>
      <c r="N1111" s="758">
        <v>0.72</v>
      </c>
      <c r="O1111" s="758">
        <v>0.71</v>
      </c>
      <c r="P1111" s="758">
        <v>0.68</v>
      </c>
      <c r="Q1111" s="758"/>
      <c r="R1111" s="375"/>
    </row>
    <row r="1112" spans="1:87" s="624" customFormat="1" ht="16.350000000000001" customHeight="1" outlineLevel="1">
      <c r="A1112" s="1095"/>
      <c r="B1112" s="1096"/>
      <c r="C1112" s="1097"/>
      <c r="D1112" s="1097"/>
      <c r="E1112" s="1097"/>
      <c r="F1112" s="1097"/>
      <c r="G1112" s="1097"/>
      <c r="H1112" s="1098"/>
      <c r="I1112" s="1098"/>
      <c r="J1112" s="1098"/>
      <c r="K1112" s="1098"/>
      <c r="L1112" s="1098"/>
      <c r="M1112" s="1098"/>
      <c r="N1112" s="1098"/>
      <c r="O1112" s="1098"/>
      <c r="P1112" s="1098"/>
      <c r="Q1112" s="1098"/>
      <c r="R1112" s="1099"/>
    </row>
    <row r="1113" spans="1:87" s="290" customFormat="1" ht="14.1" customHeight="1">
      <c r="A1113" s="285"/>
      <c r="B1113" s="286"/>
      <c r="C1113" s="287"/>
      <c r="D1113" s="287"/>
      <c r="E1113" s="287"/>
      <c r="F1113" s="287"/>
      <c r="G1113" s="287"/>
      <c r="H1113" s="287"/>
      <c r="I1113" s="287"/>
      <c r="J1113" s="287"/>
      <c r="K1113" s="287"/>
      <c r="L1113" s="288"/>
      <c r="M1113" s="288"/>
      <c r="N1113" s="288"/>
      <c r="O1113" s="288"/>
      <c r="P1113" s="288"/>
      <c r="Q1113" s="288"/>
      <c r="R1113" s="289"/>
    </row>
    <row r="1114" spans="1:87" s="1104" customFormat="1" ht="21" customHeight="1" collapsed="1">
      <c r="A1114" s="1550" t="s">
        <v>834</v>
      </c>
      <c r="B1114" s="1551"/>
      <c r="C1114" s="1100"/>
      <c r="D1114" s="1101"/>
      <c r="E1114" s="1101"/>
      <c r="F1114" s="1101"/>
      <c r="G1114" s="1101"/>
      <c r="H1114" s="1101"/>
      <c r="I1114" s="1102"/>
      <c r="J1114" s="1102"/>
      <c r="K1114" s="1102"/>
      <c r="L1114" s="1102"/>
      <c r="M1114" s="1102"/>
      <c r="N1114" s="1102"/>
      <c r="O1114" s="1102"/>
      <c r="P1114" s="1102"/>
      <c r="Q1114" s="1102"/>
      <c r="R1114" s="1103"/>
    </row>
    <row r="1115" spans="1:87" s="1112" customFormat="1" ht="16.350000000000001" customHeight="1" outlineLevel="1">
      <c r="A1115" s="1105"/>
      <c r="B1115" s="1106"/>
      <c r="C1115" s="1107"/>
      <c r="D1115" s="1107"/>
      <c r="E1115" s="1107"/>
      <c r="F1115" s="1107"/>
      <c r="G1115" s="1107"/>
      <c r="H1115" s="1108"/>
      <c r="I1115" s="1108"/>
      <c r="J1115" s="1108"/>
      <c r="K1115" s="1108"/>
      <c r="L1115" s="1109"/>
      <c r="M1115" s="1109"/>
      <c r="N1115" s="1109"/>
      <c r="O1115" s="1109"/>
      <c r="P1115" s="1109"/>
      <c r="Q1115" s="1109"/>
      <c r="R1115" s="1110"/>
      <c r="S1115" s="1111"/>
      <c r="T1115" s="1111"/>
      <c r="U1115" s="1111"/>
      <c r="V1115" s="1111"/>
      <c r="W1115" s="1111"/>
      <c r="X1115" s="1111"/>
      <c r="Y1115" s="1111"/>
      <c r="Z1115" s="1111"/>
      <c r="AA1115" s="1111"/>
      <c r="AB1115" s="1111"/>
      <c r="AC1115" s="1111"/>
      <c r="AD1115" s="1111"/>
      <c r="AE1115" s="1111"/>
      <c r="AF1115" s="1111"/>
      <c r="AG1115" s="1111"/>
      <c r="AH1115" s="1111"/>
      <c r="AI1115" s="1111"/>
      <c r="AJ1115" s="1111"/>
      <c r="AK1115" s="1111"/>
      <c r="AL1115" s="1111"/>
      <c r="AM1115" s="1111"/>
      <c r="AN1115" s="1111"/>
      <c r="AO1115" s="1111"/>
      <c r="AP1115" s="1111"/>
      <c r="AQ1115" s="1111"/>
      <c r="AR1115" s="1111"/>
      <c r="AS1115" s="1111"/>
      <c r="AT1115" s="1111"/>
      <c r="AU1115" s="1111"/>
      <c r="AV1115" s="1111"/>
      <c r="AW1115" s="1111"/>
      <c r="AX1115" s="1111"/>
      <c r="AY1115" s="1111"/>
      <c r="AZ1115" s="1111"/>
      <c r="BA1115" s="1111"/>
      <c r="BB1115" s="1111"/>
      <c r="BC1115" s="1111"/>
      <c r="BD1115" s="1111"/>
      <c r="BE1115" s="1111"/>
      <c r="BF1115" s="1111"/>
      <c r="BG1115" s="1111"/>
      <c r="BH1115" s="1111"/>
      <c r="BI1115" s="1111"/>
      <c r="BJ1115" s="1111"/>
      <c r="BK1115" s="1111"/>
      <c r="BL1115" s="1111"/>
      <c r="BM1115" s="1111"/>
      <c r="BN1115" s="1111"/>
      <c r="BO1115" s="1111"/>
      <c r="BP1115" s="1111"/>
      <c r="BQ1115" s="1111"/>
      <c r="BR1115" s="1111"/>
      <c r="BS1115" s="1111"/>
      <c r="BT1115" s="1111"/>
      <c r="BU1115" s="1111"/>
      <c r="BV1115" s="1111"/>
      <c r="BW1115" s="1111"/>
      <c r="BX1115" s="1111"/>
      <c r="BY1115" s="1111"/>
      <c r="BZ1115" s="1111"/>
      <c r="CA1115" s="1111"/>
      <c r="CB1115" s="1111"/>
      <c r="CC1115" s="1111"/>
      <c r="CD1115" s="1111"/>
      <c r="CE1115" s="1111"/>
      <c r="CF1115" s="1111"/>
      <c r="CG1115" s="1111"/>
      <c r="CH1115" s="1111"/>
      <c r="CI1115" s="1111"/>
    </row>
    <row r="1116" spans="1:87" s="1112" customFormat="1" ht="16.350000000000001" customHeight="1" outlineLevel="1">
      <c r="A1116" s="1105"/>
      <c r="B1116" s="1113" t="s">
        <v>835</v>
      </c>
      <c r="C1116" s="1114"/>
      <c r="D1116" s="1114"/>
      <c r="E1116" s="1114"/>
      <c r="F1116" s="1114"/>
      <c r="G1116" s="1114"/>
      <c r="H1116" s="1114"/>
      <c r="I1116" s="1114"/>
      <c r="J1116" s="1114"/>
      <c r="K1116" s="1114"/>
      <c r="L1116" s="1115"/>
      <c r="M1116" s="1115"/>
      <c r="N1116" s="1115"/>
      <c r="O1116" s="1115"/>
      <c r="P1116" s="1115"/>
      <c r="Q1116" s="1115"/>
      <c r="R1116" s="1110"/>
      <c r="S1116" s="1111"/>
      <c r="T1116" s="1111"/>
      <c r="U1116" s="1111"/>
      <c r="V1116" s="1111"/>
      <c r="W1116" s="1111"/>
      <c r="X1116" s="1111"/>
      <c r="Y1116" s="1111"/>
      <c r="Z1116" s="1111"/>
      <c r="AA1116" s="1111"/>
      <c r="AB1116" s="1111"/>
      <c r="AC1116" s="1111"/>
      <c r="AD1116" s="1111"/>
      <c r="AE1116" s="1111"/>
      <c r="AF1116" s="1111"/>
      <c r="AG1116" s="1111"/>
      <c r="AH1116" s="1111"/>
      <c r="AI1116" s="1111"/>
      <c r="AJ1116" s="1111"/>
      <c r="AK1116" s="1111"/>
      <c r="AL1116" s="1111"/>
      <c r="AM1116" s="1111"/>
      <c r="AN1116" s="1111"/>
      <c r="AO1116" s="1111"/>
      <c r="AP1116" s="1111"/>
      <c r="AQ1116" s="1111"/>
      <c r="AR1116" s="1111"/>
      <c r="AS1116" s="1111"/>
      <c r="AT1116" s="1111"/>
      <c r="AU1116" s="1111"/>
      <c r="AV1116" s="1111"/>
      <c r="AW1116" s="1111"/>
      <c r="AX1116" s="1111"/>
      <c r="AY1116" s="1111"/>
      <c r="AZ1116" s="1111"/>
      <c r="BA1116" s="1111"/>
      <c r="BB1116" s="1111"/>
      <c r="BC1116" s="1111"/>
      <c r="BD1116" s="1111"/>
      <c r="BE1116" s="1111"/>
      <c r="BF1116" s="1111"/>
      <c r="BG1116" s="1111"/>
      <c r="BH1116" s="1111"/>
      <c r="BI1116" s="1111"/>
      <c r="BJ1116" s="1111"/>
      <c r="BK1116" s="1111"/>
      <c r="BL1116" s="1111"/>
      <c r="BM1116" s="1111"/>
      <c r="BN1116" s="1111"/>
      <c r="BO1116" s="1111"/>
      <c r="BP1116" s="1111"/>
      <c r="BQ1116" s="1111"/>
      <c r="BR1116" s="1111"/>
      <c r="BS1116" s="1111"/>
      <c r="BT1116" s="1111"/>
      <c r="BU1116" s="1111"/>
      <c r="BV1116" s="1111"/>
      <c r="BW1116" s="1111"/>
      <c r="BX1116" s="1111"/>
      <c r="BY1116" s="1111"/>
      <c r="BZ1116" s="1111"/>
      <c r="CA1116" s="1111"/>
      <c r="CB1116" s="1111"/>
      <c r="CC1116" s="1111"/>
      <c r="CD1116" s="1111"/>
      <c r="CE1116" s="1111"/>
      <c r="CF1116" s="1111"/>
      <c r="CG1116" s="1111"/>
      <c r="CH1116" s="1111"/>
      <c r="CI1116" s="1111"/>
    </row>
    <row r="1117" spans="1:87" s="419" customFormat="1" ht="16.350000000000001" customHeight="1" outlineLevel="1">
      <c r="A1117" s="1105"/>
      <c r="B1117" s="1116"/>
      <c r="C1117" s="1117"/>
      <c r="D1117" s="1117"/>
      <c r="E1117" s="1117"/>
      <c r="F1117" s="1117"/>
      <c r="G1117" s="1117"/>
      <c r="H1117" s="1118"/>
      <c r="I1117" s="1119"/>
      <c r="J1117" s="1119"/>
      <c r="K1117" s="1118"/>
      <c r="L1117" s="1118"/>
      <c r="M1117" s="1118"/>
      <c r="N1117" s="1118"/>
      <c r="O1117" s="1118"/>
      <c r="P1117" s="1118"/>
      <c r="Q1117" s="1118"/>
      <c r="R1117" s="1110"/>
      <c r="S1117" s="1120"/>
      <c r="T1117" s="1120"/>
      <c r="U1117" s="1120"/>
      <c r="V1117" s="1120"/>
      <c r="W1117" s="1120"/>
      <c r="X1117" s="1120"/>
      <c r="Y1117" s="1120"/>
      <c r="Z1117" s="1120"/>
      <c r="AA1117" s="1120"/>
      <c r="AB1117" s="1120"/>
      <c r="AC1117" s="1120"/>
      <c r="AD1117" s="1120"/>
      <c r="AE1117" s="1120"/>
      <c r="AF1117" s="1120"/>
      <c r="AG1117" s="1120"/>
      <c r="AH1117" s="1120"/>
      <c r="AI1117" s="1120"/>
      <c r="AJ1117" s="1120"/>
      <c r="AK1117" s="1120"/>
      <c r="AL1117" s="1120"/>
      <c r="AM1117" s="1120"/>
      <c r="AN1117" s="1120"/>
      <c r="AO1117" s="1120"/>
      <c r="AP1117" s="1120"/>
      <c r="AQ1117" s="1120"/>
      <c r="AR1117" s="1120"/>
      <c r="AS1117" s="1120"/>
      <c r="AT1117" s="1120"/>
      <c r="AU1117" s="1120"/>
      <c r="AV1117" s="1120"/>
      <c r="AW1117" s="1120"/>
      <c r="AX1117" s="1120"/>
      <c r="AY1117" s="1120"/>
      <c r="AZ1117" s="1120"/>
      <c r="BA1117" s="1120"/>
      <c r="BB1117" s="1120"/>
      <c r="BC1117" s="1120"/>
      <c r="BD1117" s="1120"/>
      <c r="BE1117" s="1120"/>
      <c r="BF1117" s="1120"/>
      <c r="BG1117" s="1120"/>
    </row>
    <row r="1118" spans="1:87" s="419" customFormat="1" ht="16.350000000000001" customHeight="1" outlineLevel="1">
      <c r="A1118" s="1105"/>
      <c r="B1118" s="1116" t="s">
        <v>836</v>
      </c>
      <c r="C1118" s="1117"/>
      <c r="D1118" s="1117"/>
      <c r="E1118" s="1117"/>
      <c r="F1118" s="1117"/>
      <c r="G1118" s="1117"/>
      <c r="H1118" s="1118"/>
      <c r="I1118" s="1119"/>
      <c r="J1118" s="1119"/>
      <c r="K1118" s="1118"/>
      <c r="L1118" s="1118"/>
      <c r="M1118" s="1118"/>
      <c r="N1118" s="1118"/>
      <c r="O1118" s="1118"/>
      <c r="P1118" s="1118"/>
      <c r="Q1118" s="1118"/>
      <c r="R1118" s="1110"/>
      <c r="S1118" s="1120"/>
      <c r="T1118" s="1120"/>
      <c r="U1118" s="1120"/>
      <c r="V1118" s="1120"/>
      <c r="W1118" s="1120"/>
      <c r="X1118" s="1120"/>
      <c r="Y1118" s="1120"/>
      <c r="Z1118" s="1120"/>
      <c r="AA1118" s="1120"/>
      <c r="AB1118" s="1120"/>
      <c r="AC1118" s="1120"/>
      <c r="AD1118" s="1120"/>
      <c r="AE1118" s="1120"/>
      <c r="AF1118" s="1120"/>
      <c r="AG1118" s="1120"/>
      <c r="AH1118" s="1120"/>
      <c r="AI1118" s="1120"/>
      <c r="AJ1118" s="1120"/>
      <c r="AK1118" s="1120"/>
      <c r="AL1118" s="1120"/>
      <c r="AM1118" s="1120"/>
      <c r="AN1118" s="1120"/>
      <c r="AO1118" s="1120"/>
      <c r="AP1118" s="1120"/>
      <c r="AQ1118" s="1120"/>
      <c r="AR1118" s="1120"/>
      <c r="AS1118" s="1120"/>
      <c r="AT1118" s="1120"/>
      <c r="AU1118" s="1120"/>
      <c r="AV1118" s="1120"/>
      <c r="AW1118" s="1120"/>
      <c r="AX1118" s="1120"/>
      <c r="AY1118" s="1120"/>
      <c r="AZ1118" s="1120"/>
      <c r="BA1118" s="1120"/>
      <c r="BB1118" s="1120"/>
      <c r="BC1118" s="1120"/>
      <c r="BD1118" s="1120"/>
      <c r="BE1118" s="1120"/>
      <c r="BF1118" s="1120"/>
      <c r="BG1118" s="1120"/>
    </row>
    <row r="1119" spans="1:87" s="1125" customFormat="1" ht="16.350000000000001" customHeight="1" outlineLevel="1">
      <c r="A1119" s="1105"/>
      <c r="B1119" s="1121" t="s">
        <v>837</v>
      </c>
      <c r="C1119" s="1122"/>
      <c r="D1119" s="1122">
        <v>350331456000</v>
      </c>
      <c r="E1119" s="1122">
        <v>329826903000</v>
      </c>
      <c r="F1119" s="1122">
        <v>289945347000</v>
      </c>
      <c r="G1119" s="1122">
        <f>G1120+G1140+G1159+G1178+G1197</f>
        <v>265995938000</v>
      </c>
      <c r="H1119" s="1122">
        <f>H1120+H1140+H1159+H1178+H1197</f>
        <v>232968795000</v>
      </c>
      <c r="I1119" s="1122">
        <f>I1120+I1140+I1159+I1178+I1197</f>
        <v>195158252000</v>
      </c>
      <c r="J1119" s="1122">
        <f>(J1120+J1140+J1159+J1178+J1197)</f>
        <v>158752578000</v>
      </c>
      <c r="K1119" s="1122">
        <f>(K1120+K1140+K1159+K1178+K1197)</f>
        <v>122874275000</v>
      </c>
      <c r="L1119" s="1123"/>
      <c r="M1119" s="1123"/>
      <c r="N1119" s="1123"/>
      <c r="O1119" s="1123"/>
      <c r="P1119" s="1123"/>
      <c r="Q1119" s="1123"/>
      <c r="R1119" s="1110"/>
      <c r="S1119" s="1124"/>
      <c r="T1119" s="1124"/>
      <c r="U1119" s="1124"/>
      <c r="V1119" s="1124"/>
      <c r="W1119" s="1124"/>
      <c r="X1119" s="1124"/>
      <c r="Y1119" s="1124"/>
      <c r="Z1119" s="1124"/>
      <c r="AA1119" s="1124"/>
      <c r="AB1119" s="1124"/>
      <c r="AC1119" s="1124"/>
      <c r="AD1119" s="1124"/>
      <c r="AE1119" s="1124"/>
      <c r="AF1119" s="1124"/>
      <c r="AG1119" s="1124"/>
      <c r="AH1119" s="1124"/>
      <c r="AI1119" s="1124"/>
      <c r="AJ1119" s="1124"/>
      <c r="AK1119" s="1124"/>
      <c r="AL1119" s="1124"/>
      <c r="AM1119" s="1124"/>
      <c r="AN1119" s="1124"/>
      <c r="AO1119" s="1124"/>
      <c r="AP1119" s="1124"/>
      <c r="AQ1119" s="1124"/>
      <c r="AR1119" s="1124"/>
      <c r="AS1119" s="1124"/>
      <c r="AT1119" s="1124"/>
      <c r="AU1119" s="1124"/>
      <c r="AV1119" s="1124"/>
      <c r="AW1119" s="1124"/>
      <c r="AX1119" s="1124"/>
      <c r="AY1119" s="1124"/>
      <c r="AZ1119" s="1124"/>
      <c r="BA1119" s="1124"/>
      <c r="BB1119" s="1124"/>
      <c r="BC1119" s="1124"/>
      <c r="BD1119" s="1124"/>
      <c r="BE1119" s="1124"/>
      <c r="BF1119" s="1124"/>
      <c r="BG1119" s="1124"/>
      <c r="BH1119" s="1124"/>
      <c r="BI1119" s="1124"/>
      <c r="BJ1119" s="1124"/>
      <c r="BK1119" s="1124"/>
      <c r="BL1119" s="1124"/>
      <c r="BM1119" s="1124"/>
      <c r="BN1119" s="1124"/>
      <c r="BO1119" s="1124"/>
      <c r="BP1119" s="1124"/>
      <c r="BQ1119" s="1124"/>
      <c r="BR1119" s="1124"/>
      <c r="BS1119" s="1124"/>
      <c r="BT1119" s="1124"/>
    </row>
    <row r="1120" spans="1:87" s="1125" customFormat="1" ht="16.350000000000001" customHeight="1" outlineLevel="1">
      <c r="A1120" s="1105"/>
      <c r="B1120" s="1126" t="s">
        <v>35</v>
      </c>
      <c r="C1120" s="1127"/>
      <c r="D1120" s="1127">
        <v>16208699000</v>
      </c>
      <c r="E1120" s="1127">
        <v>16040282000</v>
      </c>
      <c r="F1120" s="1127">
        <v>14989340000</v>
      </c>
      <c r="G1120" s="1127">
        <f>G1138</f>
        <v>13384520000</v>
      </c>
      <c r="H1120" s="1127">
        <f>H1138</f>
        <v>11692934000</v>
      </c>
      <c r="I1120" s="1127">
        <f>I1138</f>
        <v>8672020000</v>
      </c>
      <c r="J1120" s="1127">
        <f>J1129</f>
        <v>6782931000</v>
      </c>
      <c r="K1120" s="1127">
        <f>K1138</f>
        <v>5750249000</v>
      </c>
      <c r="L1120" s="1128"/>
      <c r="M1120" s="1128"/>
      <c r="N1120" s="1128"/>
      <c r="O1120" s="1128"/>
      <c r="P1120" s="1128"/>
      <c r="Q1120" s="1128"/>
      <c r="R1120" s="1110"/>
      <c r="S1120" s="1124"/>
      <c r="T1120" s="1124"/>
      <c r="U1120" s="1124"/>
      <c r="V1120" s="1124"/>
      <c r="W1120" s="1124"/>
      <c r="X1120" s="1124"/>
      <c r="Y1120" s="1124"/>
      <c r="Z1120" s="1124"/>
      <c r="AA1120" s="1124"/>
      <c r="AB1120" s="1124"/>
      <c r="AC1120" s="1124"/>
      <c r="AD1120" s="1124"/>
      <c r="AE1120" s="1124"/>
      <c r="AF1120" s="1124"/>
      <c r="AG1120" s="1124"/>
      <c r="AH1120" s="1124"/>
      <c r="AI1120" s="1124"/>
      <c r="AJ1120" s="1124"/>
      <c r="AK1120" s="1124"/>
      <c r="AL1120" s="1124"/>
      <c r="AM1120" s="1124"/>
      <c r="AN1120" s="1124"/>
      <c r="AO1120" s="1124"/>
      <c r="AP1120" s="1124"/>
      <c r="AQ1120" s="1124"/>
      <c r="AR1120" s="1124"/>
      <c r="AS1120" s="1124"/>
      <c r="AT1120" s="1124"/>
      <c r="AU1120" s="1124"/>
      <c r="AV1120" s="1124"/>
      <c r="AW1120" s="1124"/>
      <c r="AX1120" s="1124"/>
      <c r="AY1120" s="1124"/>
      <c r="AZ1120" s="1124"/>
      <c r="BA1120" s="1124"/>
      <c r="BB1120" s="1124"/>
      <c r="BC1120" s="1124"/>
      <c r="BD1120" s="1124"/>
      <c r="BE1120" s="1124"/>
      <c r="BF1120" s="1124"/>
      <c r="BG1120" s="1124"/>
      <c r="BH1120" s="1124"/>
      <c r="BI1120" s="1124"/>
      <c r="BJ1120" s="1124"/>
      <c r="BK1120" s="1124"/>
      <c r="BL1120" s="1124"/>
      <c r="BM1120" s="1124"/>
      <c r="BN1120" s="1124"/>
      <c r="BO1120" s="1124"/>
      <c r="BP1120" s="1124"/>
      <c r="BQ1120" s="1124"/>
      <c r="BR1120" s="1124"/>
      <c r="BS1120" s="1124"/>
      <c r="BT1120" s="1124"/>
    </row>
    <row r="1121" spans="1:72" s="1125" customFormat="1" ht="16.350000000000001" customHeight="1" outlineLevel="2">
      <c r="A1121" s="1105"/>
      <c r="B1121" s="1126"/>
      <c r="C1121" s="1127"/>
      <c r="D1121" s="1127"/>
      <c r="E1121" s="1127"/>
      <c r="F1121" s="1127"/>
      <c r="G1121" s="1127"/>
      <c r="H1121" s="1127"/>
      <c r="I1121" s="1127"/>
      <c r="J1121" s="1127"/>
      <c r="K1121" s="1127"/>
      <c r="L1121" s="1128"/>
      <c r="M1121" s="1128"/>
      <c r="N1121" s="1128"/>
      <c r="O1121" s="1128"/>
      <c r="P1121" s="1128"/>
      <c r="Q1121" s="1128"/>
      <c r="R1121" s="1110"/>
      <c r="S1121" s="1124"/>
      <c r="T1121" s="1124"/>
      <c r="U1121" s="1124"/>
      <c r="V1121" s="1124"/>
      <c r="W1121" s="1124"/>
      <c r="X1121" s="1124"/>
      <c r="Y1121" s="1124"/>
      <c r="Z1121" s="1124"/>
      <c r="AA1121" s="1124"/>
      <c r="AB1121" s="1124"/>
      <c r="AC1121" s="1124"/>
      <c r="AD1121" s="1124"/>
      <c r="AE1121" s="1124"/>
      <c r="AF1121" s="1124"/>
      <c r="AG1121" s="1124"/>
      <c r="AH1121" s="1124"/>
      <c r="AI1121" s="1124"/>
      <c r="AJ1121" s="1124"/>
      <c r="AK1121" s="1124"/>
      <c r="AL1121" s="1124"/>
      <c r="AM1121" s="1124"/>
      <c r="AN1121" s="1124"/>
      <c r="AO1121" s="1124"/>
      <c r="AP1121" s="1124"/>
      <c r="AQ1121" s="1124"/>
      <c r="AR1121" s="1124"/>
      <c r="AS1121" s="1124"/>
      <c r="AT1121" s="1124"/>
      <c r="AU1121" s="1124"/>
      <c r="AV1121" s="1124"/>
      <c r="AW1121" s="1124"/>
      <c r="AX1121" s="1124"/>
      <c r="AY1121" s="1124"/>
      <c r="AZ1121" s="1124"/>
      <c r="BA1121" s="1124"/>
      <c r="BB1121" s="1124"/>
      <c r="BC1121" s="1124"/>
      <c r="BD1121" s="1124"/>
      <c r="BE1121" s="1124"/>
      <c r="BF1121" s="1124"/>
      <c r="BG1121" s="1124"/>
      <c r="BH1121" s="1124"/>
      <c r="BI1121" s="1124"/>
      <c r="BJ1121" s="1124"/>
      <c r="BK1121" s="1124"/>
      <c r="BL1121" s="1124"/>
      <c r="BM1121" s="1124"/>
      <c r="BN1121" s="1124"/>
      <c r="BO1121" s="1124"/>
      <c r="BP1121" s="1124"/>
      <c r="BQ1121" s="1124"/>
      <c r="BR1121" s="1124"/>
      <c r="BS1121" s="1124"/>
      <c r="BT1121" s="1124"/>
    </row>
    <row r="1122" spans="1:72" s="1132" customFormat="1" ht="16.350000000000001" customHeight="1" outlineLevel="2">
      <c r="A1122" s="1105"/>
      <c r="B1122" s="1129" t="s">
        <v>838</v>
      </c>
      <c r="C1122" s="1130"/>
      <c r="D1122" s="1130">
        <v>16040282000</v>
      </c>
      <c r="E1122" s="1130">
        <v>14989340000</v>
      </c>
      <c r="F1122" s="1130">
        <v>13384520000</v>
      </c>
      <c r="G1122" s="1130">
        <f>H1129</f>
        <v>11692934000</v>
      </c>
      <c r="H1122" s="1130">
        <f>I1129</f>
        <v>8672020000</v>
      </c>
      <c r="I1122" s="1130">
        <f>J1129</f>
        <v>6782931000</v>
      </c>
      <c r="J1122" s="1130">
        <v>5750249000</v>
      </c>
      <c r="K1122" s="1130">
        <v>3680231000</v>
      </c>
      <c r="L1122" s="1130"/>
      <c r="M1122" s="1130"/>
      <c r="N1122" s="1130"/>
      <c r="O1122" s="1130"/>
      <c r="P1122" s="1130"/>
      <c r="Q1122" s="1130"/>
      <c r="R1122" s="1110"/>
      <c r="S1122" s="1131"/>
      <c r="T1122" s="1131"/>
      <c r="U1122" s="1131"/>
      <c r="V1122" s="1131"/>
      <c r="W1122" s="1131"/>
      <c r="X1122" s="1131"/>
      <c r="Y1122" s="1131"/>
      <c r="Z1122" s="1131"/>
      <c r="AA1122" s="1131"/>
      <c r="AB1122" s="1131"/>
      <c r="AC1122" s="1131"/>
      <c r="AD1122" s="1131"/>
      <c r="AE1122" s="1131"/>
      <c r="AF1122" s="1131"/>
      <c r="AG1122" s="1131"/>
      <c r="AH1122" s="1131"/>
      <c r="AI1122" s="1131"/>
      <c r="AJ1122" s="1131"/>
      <c r="AK1122" s="1131"/>
      <c r="AL1122" s="1131"/>
      <c r="AM1122" s="1131"/>
      <c r="AN1122" s="1131"/>
      <c r="AO1122" s="1131"/>
      <c r="AP1122" s="1131"/>
      <c r="AQ1122" s="1131"/>
      <c r="AR1122" s="1131"/>
      <c r="AS1122" s="1131"/>
      <c r="AT1122" s="1131"/>
      <c r="AU1122" s="1131"/>
      <c r="AV1122" s="1131"/>
      <c r="AW1122" s="1131"/>
      <c r="AX1122" s="1131"/>
      <c r="AY1122" s="1131"/>
      <c r="AZ1122" s="1131"/>
      <c r="BA1122" s="1131"/>
      <c r="BB1122" s="1131"/>
      <c r="BC1122" s="1131"/>
      <c r="BD1122" s="1131"/>
      <c r="BE1122" s="1131"/>
      <c r="BF1122" s="1131"/>
      <c r="BG1122" s="1131"/>
      <c r="BH1122" s="1131"/>
      <c r="BI1122" s="1131"/>
      <c r="BJ1122" s="1131"/>
      <c r="BK1122" s="1131"/>
      <c r="BL1122" s="1131"/>
      <c r="BM1122" s="1131"/>
      <c r="BN1122" s="1131"/>
      <c r="BO1122" s="1131"/>
      <c r="BP1122" s="1131"/>
      <c r="BQ1122" s="1131"/>
      <c r="BR1122" s="1131"/>
      <c r="BS1122" s="1131"/>
      <c r="BT1122" s="1131"/>
    </row>
    <row r="1123" spans="1:72" s="450" customFormat="1" ht="16.350000000000001" customHeight="1" outlineLevel="2">
      <c r="A1123" s="1105"/>
      <c r="B1123" s="1133" t="s">
        <v>839</v>
      </c>
      <c r="C1123" s="1130"/>
      <c r="D1123" s="1130">
        <v>518323000</v>
      </c>
      <c r="E1123" s="1130"/>
      <c r="F1123" s="1130"/>
      <c r="G1123" s="1130"/>
      <c r="H1123" s="1130"/>
      <c r="I1123" s="1130"/>
      <c r="J1123" s="1130"/>
      <c r="K1123" s="1130"/>
      <c r="L1123" s="1134"/>
      <c r="M1123" s="1134"/>
      <c r="N1123" s="1134"/>
      <c r="O1123" s="1134"/>
      <c r="P1123" s="1134"/>
      <c r="Q1123" s="1134"/>
      <c r="R1123" s="1110"/>
      <c r="S1123" s="1135"/>
      <c r="T1123" s="1135"/>
      <c r="U1123" s="1135"/>
      <c r="V1123" s="1135"/>
      <c r="W1123" s="1135"/>
      <c r="X1123" s="1135"/>
      <c r="Y1123" s="1135"/>
      <c r="Z1123" s="1135"/>
      <c r="AA1123" s="1135"/>
      <c r="AB1123" s="1135"/>
      <c r="AC1123" s="1135"/>
      <c r="AD1123" s="1135"/>
      <c r="AE1123" s="1135"/>
      <c r="AF1123" s="1135"/>
      <c r="AG1123" s="1135"/>
      <c r="AH1123" s="1135"/>
      <c r="AI1123" s="1135"/>
      <c r="AJ1123" s="1135"/>
      <c r="AK1123" s="1135"/>
      <c r="AL1123" s="1135"/>
      <c r="AM1123" s="1135"/>
      <c r="AN1123" s="1135"/>
      <c r="AO1123" s="1135"/>
      <c r="AP1123" s="1135"/>
      <c r="AQ1123" s="1135"/>
      <c r="AR1123" s="1135"/>
      <c r="AS1123" s="1135"/>
      <c r="AT1123" s="1135"/>
      <c r="AU1123" s="1135"/>
      <c r="AV1123" s="1135"/>
      <c r="AW1123" s="1135"/>
      <c r="AX1123" s="1135"/>
      <c r="AY1123" s="1135"/>
      <c r="AZ1123" s="1135"/>
      <c r="BA1123" s="1135"/>
      <c r="BB1123" s="1135"/>
      <c r="BC1123" s="1135"/>
      <c r="BD1123" s="1135"/>
      <c r="BE1123" s="1135"/>
      <c r="BF1123" s="1135"/>
      <c r="BG1123" s="1135"/>
      <c r="BH1123" s="1135"/>
      <c r="BI1123" s="1135"/>
      <c r="BJ1123" s="1135"/>
      <c r="BK1123" s="1135"/>
      <c r="BL1123" s="1135"/>
      <c r="BM1123" s="1135"/>
      <c r="BN1123" s="1135"/>
      <c r="BO1123" s="1135"/>
      <c r="BP1123" s="1135"/>
      <c r="BQ1123" s="1135"/>
      <c r="BR1123" s="1135"/>
      <c r="BS1123" s="1135"/>
      <c r="BT1123" s="1135"/>
    </row>
    <row r="1124" spans="1:72" s="450" customFormat="1" ht="16.350000000000001" customHeight="1" outlineLevel="2">
      <c r="A1124" s="1105"/>
      <c r="B1124" s="1133" t="s">
        <v>53</v>
      </c>
      <c r="C1124" s="1130"/>
      <c r="D1124" s="1130">
        <v>49661000</v>
      </c>
      <c r="E1124" s="1130">
        <v>801677000</v>
      </c>
      <c r="F1124" s="1130">
        <v>1419057000</v>
      </c>
      <c r="G1124" s="1130">
        <v>1477785000</v>
      </c>
      <c r="H1124" s="1130">
        <v>2706101000</v>
      </c>
      <c r="I1124" s="1130">
        <v>1447313000</v>
      </c>
      <c r="J1124" s="1130">
        <v>1431339000</v>
      </c>
      <c r="K1124" s="1130">
        <v>1753730000</v>
      </c>
      <c r="L1124" s="1134"/>
      <c r="M1124" s="1134"/>
      <c r="N1124" s="1134"/>
      <c r="O1124" s="1134"/>
      <c r="P1124" s="1134"/>
      <c r="Q1124" s="1134"/>
      <c r="R1124" s="1110"/>
      <c r="S1124" s="1135"/>
      <c r="T1124" s="1135"/>
      <c r="U1124" s="1135"/>
      <c r="V1124" s="1135"/>
      <c r="W1124" s="1135"/>
      <c r="X1124" s="1135"/>
      <c r="Y1124" s="1135"/>
      <c r="Z1124" s="1135"/>
      <c r="AA1124" s="1135"/>
      <c r="AB1124" s="1135"/>
      <c r="AC1124" s="1135"/>
      <c r="AD1124" s="1135"/>
      <c r="AE1124" s="1135"/>
      <c r="AF1124" s="1135"/>
      <c r="AG1124" s="1135"/>
      <c r="AH1124" s="1135"/>
      <c r="AI1124" s="1135"/>
      <c r="AJ1124" s="1135"/>
      <c r="AK1124" s="1135"/>
      <c r="AL1124" s="1135"/>
      <c r="AM1124" s="1135"/>
      <c r="AN1124" s="1135"/>
      <c r="AO1124" s="1135"/>
      <c r="AP1124" s="1135"/>
      <c r="AQ1124" s="1135"/>
      <c r="AR1124" s="1135"/>
      <c r="AS1124" s="1135"/>
      <c r="AT1124" s="1135"/>
      <c r="AU1124" s="1135"/>
      <c r="AV1124" s="1135"/>
      <c r="AW1124" s="1135"/>
      <c r="AX1124" s="1135"/>
      <c r="AY1124" s="1135"/>
      <c r="AZ1124" s="1135"/>
      <c r="BA1124" s="1135"/>
      <c r="BB1124" s="1135"/>
      <c r="BC1124" s="1135"/>
      <c r="BD1124" s="1135"/>
      <c r="BE1124" s="1135"/>
      <c r="BF1124" s="1135"/>
      <c r="BG1124" s="1135"/>
      <c r="BH1124" s="1135"/>
      <c r="BI1124" s="1135"/>
      <c r="BJ1124" s="1135"/>
      <c r="BK1124" s="1135"/>
      <c r="BL1124" s="1135"/>
      <c r="BM1124" s="1135"/>
      <c r="BN1124" s="1135"/>
      <c r="BO1124" s="1135"/>
      <c r="BP1124" s="1135"/>
      <c r="BQ1124" s="1135"/>
      <c r="BR1124" s="1135"/>
      <c r="BS1124" s="1135"/>
      <c r="BT1124" s="1135"/>
    </row>
    <row r="1125" spans="1:72" s="450" customFormat="1" ht="16.350000000000001" customHeight="1" outlineLevel="2">
      <c r="A1125" s="1105"/>
      <c r="B1125" s="1133" t="s">
        <v>840</v>
      </c>
      <c r="C1125" s="1130"/>
      <c r="D1125" s="1130"/>
      <c r="E1125" s="1130"/>
      <c r="F1125" s="1130"/>
      <c r="G1125" s="1130">
        <v>0</v>
      </c>
      <c r="H1125" s="1130">
        <v>0</v>
      </c>
      <c r="I1125" s="1130">
        <v>201100000</v>
      </c>
      <c r="J1125" s="1130">
        <v>0</v>
      </c>
      <c r="K1125" s="1130">
        <v>0</v>
      </c>
      <c r="L1125" s="1134"/>
      <c r="M1125" s="1134"/>
      <c r="N1125" s="1134"/>
      <c r="O1125" s="1134"/>
      <c r="P1125" s="1134"/>
      <c r="Q1125" s="1134"/>
      <c r="R1125" s="1110"/>
      <c r="S1125" s="1135"/>
      <c r="T1125" s="1135"/>
      <c r="U1125" s="1135"/>
      <c r="V1125" s="1135"/>
      <c r="W1125" s="1135"/>
      <c r="X1125" s="1135"/>
      <c r="Y1125" s="1135"/>
      <c r="Z1125" s="1135"/>
      <c r="AA1125" s="1135"/>
      <c r="AB1125" s="1135"/>
      <c r="AC1125" s="1135"/>
      <c r="AD1125" s="1135"/>
      <c r="AE1125" s="1135"/>
      <c r="AF1125" s="1135"/>
      <c r="AG1125" s="1135"/>
      <c r="AH1125" s="1135"/>
      <c r="AI1125" s="1135"/>
      <c r="AJ1125" s="1135"/>
      <c r="AK1125" s="1135"/>
      <c r="AL1125" s="1135"/>
      <c r="AM1125" s="1135"/>
      <c r="AN1125" s="1135"/>
      <c r="AO1125" s="1135"/>
      <c r="AP1125" s="1135"/>
      <c r="AQ1125" s="1135"/>
      <c r="AR1125" s="1135"/>
      <c r="AS1125" s="1135"/>
      <c r="AT1125" s="1135"/>
      <c r="AU1125" s="1135"/>
      <c r="AV1125" s="1135"/>
      <c r="AW1125" s="1135"/>
      <c r="AX1125" s="1135"/>
      <c r="AY1125" s="1135"/>
      <c r="AZ1125" s="1135"/>
      <c r="BA1125" s="1135"/>
      <c r="BB1125" s="1135"/>
      <c r="BC1125" s="1135"/>
      <c r="BD1125" s="1135"/>
      <c r="BE1125" s="1135"/>
      <c r="BF1125" s="1135"/>
      <c r="BG1125" s="1135"/>
      <c r="BH1125" s="1135"/>
      <c r="BI1125" s="1135"/>
      <c r="BJ1125" s="1135"/>
      <c r="BK1125" s="1135"/>
      <c r="BL1125" s="1135"/>
      <c r="BM1125" s="1135"/>
      <c r="BN1125" s="1135"/>
      <c r="BO1125" s="1135"/>
      <c r="BP1125" s="1135"/>
      <c r="BQ1125" s="1135"/>
      <c r="BR1125" s="1135"/>
      <c r="BS1125" s="1135"/>
      <c r="BT1125" s="1135"/>
    </row>
    <row r="1126" spans="1:72" s="450" customFormat="1" ht="16.350000000000001" customHeight="1" outlineLevel="2">
      <c r="A1126" s="1105"/>
      <c r="B1126" s="1133" t="s">
        <v>93</v>
      </c>
      <c r="C1126" s="1130"/>
      <c r="D1126" s="1130"/>
      <c r="E1126" s="1130">
        <v>0</v>
      </c>
      <c r="F1126" s="1130">
        <v>0</v>
      </c>
      <c r="G1126" s="1130">
        <v>0</v>
      </c>
      <c r="H1126" s="1130">
        <v>0</v>
      </c>
      <c r="I1126" s="1130">
        <v>0</v>
      </c>
      <c r="J1126" s="1130">
        <v>0</v>
      </c>
      <c r="K1126" s="1130">
        <v>0</v>
      </c>
      <c r="L1126" s="1134"/>
      <c r="M1126" s="1134"/>
      <c r="N1126" s="1134"/>
      <c r="O1126" s="1134"/>
      <c r="P1126" s="1134"/>
      <c r="Q1126" s="1134"/>
      <c r="R1126" s="1110"/>
      <c r="S1126" s="1135"/>
      <c r="T1126" s="1135"/>
      <c r="U1126" s="1135"/>
      <c r="V1126" s="1135"/>
      <c r="W1126" s="1135"/>
      <c r="X1126" s="1135"/>
      <c r="Y1126" s="1135"/>
      <c r="Z1126" s="1135"/>
      <c r="AA1126" s="1135"/>
      <c r="AB1126" s="1135"/>
      <c r="AC1126" s="1135"/>
      <c r="AD1126" s="1135"/>
      <c r="AE1126" s="1135"/>
      <c r="AF1126" s="1135"/>
      <c r="AG1126" s="1135"/>
      <c r="AH1126" s="1135"/>
      <c r="AI1126" s="1135"/>
      <c r="AJ1126" s="1135"/>
      <c r="AK1126" s="1135"/>
      <c r="AL1126" s="1135"/>
      <c r="AM1126" s="1135"/>
      <c r="AN1126" s="1135"/>
      <c r="AO1126" s="1135"/>
      <c r="AP1126" s="1135"/>
      <c r="AQ1126" s="1135"/>
      <c r="AR1126" s="1135"/>
      <c r="AS1126" s="1135"/>
      <c r="AT1126" s="1135"/>
      <c r="AU1126" s="1135"/>
      <c r="AV1126" s="1135"/>
      <c r="AW1126" s="1135"/>
      <c r="AX1126" s="1135"/>
      <c r="AY1126" s="1135"/>
      <c r="AZ1126" s="1135"/>
      <c r="BA1126" s="1135"/>
      <c r="BB1126" s="1135"/>
      <c r="BC1126" s="1135"/>
      <c r="BD1126" s="1135"/>
      <c r="BE1126" s="1135"/>
      <c r="BF1126" s="1135"/>
      <c r="BG1126" s="1135"/>
      <c r="BH1126" s="1135"/>
      <c r="BI1126" s="1135"/>
      <c r="BJ1126" s="1135"/>
      <c r="BK1126" s="1135"/>
      <c r="BL1126" s="1135"/>
      <c r="BM1126" s="1135"/>
      <c r="BN1126" s="1135"/>
      <c r="BO1126" s="1135"/>
      <c r="BP1126" s="1135"/>
      <c r="BQ1126" s="1135"/>
      <c r="BR1126" s="1135"/>
      <c r="BS1126" s="1135"/>
      <c r="BT1126" s="1135"/>
    </row>
    <row r="1127" spans="1:72" s="450" customFormat="1" ht="16.350000000000001" customHeight="1" outlineLevel="2">
      <c r="A1127" s="1105"/>
      <c r="B1127" s="1133" t="s">
        <v>54</v>
      </c>
      <c r="C1127" s="1130"/>
      <c r="D1127" s="1130">
        <v>-507371000</v>
      </c>
      <c r="E1127" s="1130">
        <v>-961000</v>
      </c>
      <c r="F1127" s="1130">
        <v>-6219000</v>
      </c>
      <c r="G1127" s="1130">
        <v>-96554000</v>
      </c>
      <c r="H1127" s="1130">
        <v>-22026000</v>
      </c>
      <c r="I1127" s="1130">
        <v>-60477000</v>
      </c>
      <c r="J1127" s="1130">
        <v>-484014000</v>
      </c>
      <c r="K1127" s="1130">
        <v>-48397000</v>
      </c>
      <c r="L1127" s="1134"/>
      <c r="M1127" s="1134"/>
      <c r="N1127" s="1134"/>
      <c r="O1127" s="1134"/>
      <c r="P1127" s="1134"/>
      <c r="Q1127" s="1134"/>
      <c r="R1127" s="1110"/>
      <c r="S1127" s="1135"/>
      <c r="T1127" s="1135"/>
      <c r="U1127" s="1135"/>
      <c r="V1127" s="1135"/>
      <c r="W1127" s="1135"/>
      <c r="X1127" s="1135"/>
      <c r="Y1127" s="1135"/>
      <c r="Z1127" s="1135"/>
      <c r="AA1127" s="1135"/>
      <c r="AB1127" s="1135"/>
      <c r="AC1127" s="1135"/>
      <c r="AD1127" s="1135"/>
      <c r="AE1127" s="1135"/>
      <c r="AF1127" s="1135"/>
      <c r="AG1127" s="1135"/>
      <c r="AH1127" s="1135"/>
      <c r="AI1127" s="1135"/>
      <c r="AJ1127" s="1135"/>
      <c r="AK1127" s="1135"/>
      <c r="AL1127" s="1135"/>
      <c r="AM1127" s="1135"/>
      <c r="AN1127" s="1135"/>
      <c r="AO1127" s="1135"/>
      <c r="AP1127" s="1135"/>
      <c r="AQ1127" s="1135"/>
      <c r="AR1127" s="1135"/>
      <c r="AS1127" s="1135"/>
      <c r="AT1127" s="1135"/>
      <c r="AU1127" s="1135"/>
      <c r="AV1127" s="1135"/>
      <c r="AW1127" s="1135"/>
      <c r="AX1127" s="1135"/>
      <c r="AY1127" s="1135"/>
      <c r="AZ1127" s="1135"/>
      <c r="BA1127" s="1135"/>
      <c r="BB1127" s="1135"/>
      <c r="BC1127" s="1135"/>
      <c r="BD1127" s="1135"/>
      <c r="BE1127" s="1135"/>
      <c r="BF1127" s="1135"/>
      <c r="BG1127" s="1135"/>
      <c r="BH1127" s="1135"/>
      <c r="BI1127" s="1135"/>
      <c r="BJ1127" s="1135"/>
      <c r="BK1127" s="1135"/>
      <c r="BL1127" s="1135"/>
      <c r="BM1127" s="1135"/>
      <c r="BN1127" s="1135"/>
      <c r="BO1127" s="1135"/>
      <c r="BP1127" s="1135"/>
      <c r="BQ1127" s="1135"/>
      <c r="BR1127" s="1135"/>
      <c r="BS1127" s="1135"/>
      <c r="BT1127" s="1135"/>
    </row>
    <row r="1128" spans="1:72" s="1132" customFormat="1" ht="16.350000000000001" customHeight="1" outlineLevel="2">
      <c r="A1128" s="1105"/>
      <c r="B1128" s="1136" t="s">
        <v>841</v>
      </c>
      <c r="C1128" s="1130"/>
      <c r="D1128" s="1130">
        <v>107804000</v>
      </c>
      <c r="E1128" s="1130">
        <v>250226000</v>
      </c>
      <c r="F1128" s="1130">
        <v>191982000</v>
      </c>
      <c r="G1128" s="1130">
        <f>G1222*-1</f>
        <v>310355000</v>
      </c>
      <c r="H1128" s="1130">
        <f>H1222*-1</f>
        <v>336839000</v>
      </c>
      <c r="I1128" s="1130">
        <v>301153000</v>
      </c>
      <c r="J1128" s="1130">
        <v>85357000</v>
      </c>
      <c r="K1128" s="1130">
        <v>364685000</v>
      </c>
      <c r="L1128" s="1130"/>
      <c r="M1128" s="1130"/>
      <c r="N1128" s="1130"/>
      <c r="O1128" s="1130"/>
      <c r="P1128" s="1130"/>
      <c r="Q1128" s="1130"/>
      <c r="R1128" s="1110"/>
      <c r="S1128" s="1131"/>
      <c r="T1128" s="1131"/>
      <c r="U1128" s="1131"/>
      <c r="V1128" s="1131"/>
      <c r="W1128" s="1131"/>
      <c r="X1128" s="1131"/>
      <c r="Y1128" s="1131"/>
      <c r="Z1128" s="1131"/>
      <c r="AA1128" s="1131"/>
      <c r="AB1128" s="1131"/>
      <c r="AC1128" s="1131"/>
      <c r="AD1128" s="1131"/>
      <c r="AE1128" s="1131"/>
      <c r="AF1128" s="1131"/>
      <c r="AG1128" s="1131"/>
      <c r="AH1128" s="1131"/>
      <c r="AI1128" s="1131"/>
      <c r="AJ1128" s="1131"/>
      <c r="AK1128" s="1131"/>
      <c r="AL1128" s="1131"/>
      <c r="AM1128" s="1131"/>
      <c r="AN1128" s="1131"/>
      <c r="AO1128" s="1131"/>
      <c r="AP1128" s="1131"/>
      <c r="AQ1128" s="1131"/>
      <c r="AR1128" s="1131"/>
      <c r="AS1128" s="1131"/>
      <c r="AT1128" s="1131"/>
      <c r="AU1128" s="1131"/>
      <c r="AV1128" s="1131"/>
      <c r="AW1128" s="1131"/>
      <c r="AX1128" s="1131"/>
      <c r="AY1128" s="1131"/>
      <c r="AZ1128" s="1131"/>
      <c r="BA1128" s="1131"/>
      <c r="BB1128" s="1131"/>
      <c r="BC1128" s="1131"/>
      <c r="BD1128" s="1131"/>
      <c r="BE1128" s="1131"/>
      <c r="BF1128" s="1131"/>
      <c r="BG1128" s="1131"/>
      <c r="BH1128" s="1131"/>
      <c r="BI1128" s="1131"/>
      <c r="BJ1128" s="1131"/>
      <c r="BK1128" s="1131"/>
      <c r="BL1128" s="1131"/>
      <c r="BM1128" s="1131"/>
      <c r="BN1128" s="1131"/>
      <c r="BO1128" s="1131"/>
      <c r="BP1128" s="1131"/>
      <c r="BQ1128" s="1131"/>
      <c r="BR1128" s="1131"/>
      <c r="BS1128" s="1131"/>
      <c r="BT1128" s="1131"/>
    </row>
    <row r="1129" spans="1:72" s="1141" customFormat="1" ht="16.350000000000001" customHeight="1" outlineLevel="2">
      <c r="A1129" s="1105"/>
      <c r="B1129" s="1137" t="s">
        <v>842</v>
      </c>
      <c r="C1129" s="1138"/>
      <c r="D1129" s="1138">
        <v>16208699000</v>
      </c>
      <c r="E1129" s="1138">
        <v>16040282000</v>
      </c>
      <c r="F1129" s="1138">
        <v>14989340000</v>
      </c>
      <c r="G1129" s="1138">
        <f>G1122+G1124+G1125+G1126+G1127+G1128</f>
        <v>13384520000</v>
      </c>
      <c r="H1129" s="1138">
        <f>H1122+H1124+H1125+H1126+H1127+H1128</f>
        <v>11692934000</v>
      </c>
      <c r="I1129" s="1138">
        <f>I1122+I1124+I1125+I1126+I1127+I1128</f>
        <v>8672020000</v>
      </c>
      <c r="J1129" s="1138">
        <f>J1122+J1124+J1125+J1126+J1127+J1128</f>
        <v>6782931000</v>
      </c>
      <c r="K1129" s="1138">
        <f>K1122+K1124+K1125+K1126+K1127+K1128</f>
        <v>5750249000</v>
      </c>
      <c r="L1129" s="1139"/>
      <c r="M1129" s="1139"/>
      <c r="N1129" s="1139"/>
      <c r="O1129" s="1139"/>
      <c r="P1129" s="1139"/>
      <c r="Q1129" s="1139"/>
      <c r="R1129" s="1110"/>
      <c r="S1129" s="1140"/>
      <c r="T1129" s="1140"/>
      <c r="U1129" s="1140"/>
      <c r="V1129" s="1140"/>
      <c r="W1129" s="1140"/>
      <c r="X1129" s="1140"/>
      <c r="Y1129" s="1140"/>
      <c r="Z1129" s="1140"/>
      <c r="AA1129" s="1140"/>
      <c r="AB1129" s="1140"/>
      <c r="AC1129" s="1140"/>
      <c r="AD1129" s="1140"/>
      <c r="AE1129" s="1140"/>
      <c r="AF1129" s="1140"/>
      <c r="AG1129" s="1140"/>
      <c r="AH1129" s="1140"/>
      <c r="AI1129" s="1140"/>
      <c r="AJ1129" s="1140"/>
      <c r="AK1129" s="1140"/>
      <c r="AL1129" s="1140"/>
      <c r="AM1129" s="1140"/>
      <c r="AN1129" s="1140"/>
      <c r="AO1129" s="1140"/>
      <c r="AP1129" s="1140"/>
      <c r="AQ1129" s="1140"/>
      <c r="AR1129" s="1140"/>
      <c r="AS1129" s="1140"/>
      <c r="AT1129" s="1140"/>
      <c r="AU1129" s="1140"/>
      <c r="AV1129" s="1140"/>
      <c r="AW1129" s="1140"/>
      <c r="AX1129" s="1140"/>
      <c r="AY1129" s="1140"/>
      <c r="AZ1129" s="1140"/>
      <c r="BA1129" s="1140"/>
      <c r="BB1129" s="1140"/>
      <c r="BC1129" s="1140"/>
      <c r="BD1129" s="1140"/>
      <c r="BE1129" s="1140"/>
      <c r="BF1129" s="1140"/>
      <c r="BG1129" s="1140"/>
      <c r="BH1129" s="1140"/>
      <c r="BI1129" s="1140"/>
      <c r="BJ1129" s="1140"/>
      <c r="BK1129" s="1140"/>
      <c r="BL1129" s="1140"/>
      <c r="BM1129" s="1140"/>
      <c r="BN1129" s="1140"/>
      <c r="BO1129" s="1140"/>
      <c r="BP1129" s="1140"/>
      <c r="BQ1129" s="1140"/>
      <c r="BR1129" s="1140"/>
      <c r="BS1129" s="1140"/>
      <c r="BT1129" s="1140"/>
    </row>
    <row r="1130" spans="1:72" s="1145" customFormat="1" ht="16.350000000000001" customHeight="1" outlineLevel="2">
      <c r="A1130" s="1105"/>
      <c r="B1130" s="1142"/>
      <c r="C1130" s="1130"/>
      <c r="D1130" s="1130"/>
      <c r="E1130" s="1130"/>
      <c r="F1130" s="1130"/>
      <c r="G1130" s="1130"/>
      <c r="H1130" s="1130"/>
      <c r="I1130" s="1130"/>
      <c r="J1130" s="1130"/>
      <c r="K1130" s="1130"/>
      <c r="L1130" s="1143"/>
      <c r="M1130" s="1143"/>
      <c r="N1130" s="1143"/>
      <c r="O1130" s="1143"/>
      <c r="P1130" s="1143"/>
      <c r="Q1130" s="1143"/>
      <c r="R1130" s="1110"/>
      <c r="S1130" s="1144"/>
      <c r="T1130" s="1144"/>
      <c r="U1130" s="1144"/>
      <c r="V1130" s="1144"/>
      <c r="W1130" s="1144"/>
      <c r="X1130" s="1144"/>
      <c r="Y1130" s="1144"/>
      <c r="Z1130" s="1144"/>
      <c r="AA1130" s="1144"/>
      <c r="AB1130" s="1144"/>
      <c r="AC1130" s="1144"/>
      <c r="AD1130" s="1144"/>
      <c r="AE1130" s="1144"/>
      <c r="AF1130" s="1144"/>
      <c r="AG1130" s="1144"/>
      <c r="AH1130" s="1144"/>
      <c r="AI1130" s="1144"/>
      <c r="AJ1130" s="1144"/>
      <c r="AK1130" s="1144"/>
      <c r="AL1130" s="1144"/>
      <c r="AM1130" s="1144"/>
      <c r="AN1130" s="1144"/>
      <c r="AO1130" s="1144"/>
      <c r="AP1130" s="1144"/>
      <c r="AQ1130" s="1144"/>
      <c r="AR1130" s="1144"/>
      <c r="AS1130" s="1144"/>
      <c r="AT1130" s="1144"/>
      <c r="AU1130" s="1144"/>
      <c r="AV1130" s="1144"/>
      <c r="AW1130" s="1144"/>
      <c r="AX1130" s="1144"/>
      <c r="AY1130" s="1144"/>
      <c r="AZ1130" s="1144"/>
      <c r="BA1130" s="1144"/>
      <c r="BB1130" s="1144"/>
      <c r="BC1130" s="1144"/>
      <c r="BD1130" s="1144"/>
      <c r="BE1130" s="1144"/>
      <c r="BF1130" s="1144"/>
      <c r="BG1130" s="1144"/>
      <c r="BH1130" s="1144"/>
      <c r="BI1130" s="1144"/>
      <c r="BJ1130" s="1144"/>
      <c r="BK1130" s="1144"/>
      <c r="BL1130" s="1144"/>
      <c r="BM1130" s="1144"/>
      <c r="BN1130" s="1144"/>
      <c r="BO1130" s="1144"/>
      <c r="BP1130" s="1144"/>
      <c r="BQ1130" s="1144"/>
      <c r="BR1130" s="1144"/>
      <c r="BS1130" s="1144"/>
      <c r="BT1130" s="1144"/>
    </row>
    <row r="1131" spans="1:72" s="1132" customFormat="1" ht="16.350000000000001" customHeight="1" outlineLevel="2">
      <c r="A1131" s="1105"/>
      <c r="B1131" s="1129" t="s">
        <v>843</v>
      </c>
      <c r="C1131" s="1130"/>
      <c r="D1131" s="1130"/>
      <c r="E1131" s="1130">
        <v>0</v>
      </c>
      <c r="F1131" s="1130">
        <v>0</v>
      </c>
      <c r="G1131" s="1130">
        <f>H1134</f>
        <v>0</v>
      </c>
      <c r="H1131" s="1130">
        <v>0</v>
      </c>
      <c r="I1131" s="1130">
        <v>0</v>
      </c>
      <c r="J1131" s="1130">
        <v>0</v>
      </c>
      <c r="K1131" s="1130">
        <v>0</v>
      </c>
      <c r="L1131" s="1130"/>
      <c r="M1131" s="1130"/>
      <c r="N1131" s="1130"/>
      <c r="O1131" s="1130"/>
      <c r="P1131" s="1130"/>
      <c r="Q1131" s="1130"/>
      <c r="R1131" s="1110"/>
      <c r="S1131" s="1131"/>
      <c r="T1131" s="1131"/>
      <c r="U1131" s="1131"/>
      <c r="V1131" s="1131"/>
      <c r="W1131" s="1131"/>
      <c r="X1131" s="1131"/>
      <c r="Y1131" s="1131"/>
      <c r="Z1131" s="1131"/>
      <c r="AA1131" s="1131"/>
      <c r="AB1131" s="1131"/>
      <c r="AC1131" s="1131"/>
      <c r="AD1131" s="1131"/>
      <c r="AE1131" s="1131"/>
      <c r="AF1131" s="1131"/>
      <c r="AG1131" s="1131"/>
      <c r="AH1131" s="1131"/>
      <c r="AI1131" s="1131"/>
      <c r="AJ1131" s="1131"/>
      <c r="AK1131" s="1131"/>
      <c r="AL1131" s="1131"/>
      <c r="AM1131" s="1131"/>
      <c r="AN1131" s="1131"/>
      <c r="AO1131" s="1131"/>
      <c r="AP1131" s="1131"/>
      <c r="AQ1131" s="1131"/>
      <c r="AR1131" s="1131"/>
      <c r="AS1131" s="1131"/>
      <c r="AT1131" s="1131"/>
      <c r="AU1131" s="1131"/>
      <c r="AV1131" s="1131"/>
      <c r="AW1131" s="1131"/>
      <c r="AX1131" s="1131"/>
      <c r="AY1131" s="1131"/>
      <c r="AZ1131" s="1131"/>
      <c r="BA1131" s="1131"/>
      <c r="BB1131" s="1131"/>
      <c r="BC1131" s="1131"/>
      <c r="BD1131" s="1131"/>
      <c r="BE1131" s="1131"/>
      <c r="BF1131" s="1131"/>
      <c r="BG1131" s="1131"/>
      <c r="BH1131" s="1131"/>
      <c r="BI1131" s="1131"/>
      <c r="BJ1131" s="1131"/>
      <c r="BK1131" s="1131"/>
      <c r="BL1131" s="1131"/>
      <c r="BM1131" s="1131"/>
      <c r="BN1131" s="1131"/>
      <c r="BO1131" s="1131"/>
      <c r="BP1131" s="1131"/>
      <c r="BQ1131" s="1131"/>
      <c r="BR1131" s="1131"/>
      <c r="BS1131" s="1131"/>
      <c r="BT1131" s="1131"/>
    </row>
    <row r="1132" spans="1:72" s="450" customFormat="1" ht="16.350000000000001" customHeight="1" outlineLevel="2">
      <c r="A1132" s="1105"/>
      <c r="B1132" s="1133" t="s">
        <v>94</v>
      </c>
      <c r="C1132" s="1130"/>
      <c r="D1132" s="1130"/>
      <c r="E1132" s="1130">
        <v>0</v>
      </c>
      <c r="F1132" s="1130">
        <v>0</v>
      </c>
      <c r="G1132" s="1130">
        <v>0</v>
      </c>
      <c r="H1132" s="1130">
        <v>0</v>
      </c>
      <c r="I1132" s="1130">
        <v>0</v>
      </c>
      <c r="J1132" s="1130">
        <v>0</v>
      </c>
      <c r="K1132" s="1130">
        <v>0</v>
      </c>
      <c r="L1132" s="1134"/>
      <c r="M1132" s="1134"/>
      <c r="N1132" s="1134"/>
      <c r="O1132" s="1134"/>
      <c r="P1132" s="1134"/>
      <c r="Q1132" s="1134"/>
      <c r="R1132" s="1110"/>
      <c r="S1132" s="1135"/>
      <c r="T1132" s="1135"/>
      <c r="U1132" s="1135"/>
      <c r="V1132" s="1135"/>
      <c r="W1132" s="1135"/>
      <c r="X1132" s="1135"/>
      <c r="Y1132" s="1135"/>
      <c r="Z1132" s="1135"/>
      <c r="AA1132" s="1135"/>
      <c r="AB1132" s="1135"/>
      <c r="AC1132" s="1135"/>
      <c r="AD1132" s="1135"/>
      <c r="AE1132" s="1135"/>
      <c r="AF1132" s="1135"/>
      <c r="AG1132" s="1135"/>
      <c r="AH1132" s="1135"/>
      <c r="AI1132" s="1135"/>
      <c r="AJ1132" s="1135"/>
      <c r="AK1132" s="1135"/>
      <c r="AL1132" s="1135"/>
      <c r="AM1132" s="1135"/>
      <c r="AN1132" s="1135"/>
      <c r="AO1132" s="1135"/>
      <c r="AP1132" s="1135"/>
      <c r="AQ1132" s="1135"/>
      <c r="AR1132" s="1135"/>
      <c r="AS1132" s="1135"/>
      <c r="AT1132" s="1135"/>
      <c r="AU1132" s="1135"/>
      <c r="AV1132" s="1135"/>
      <c r="AW1132" s="1135"/>
      <c r="AX1132" s="1135"/>
      <c r="AY1132" s="1135"/>
      <c r="AZ1132" s="1135"/>
      <c r="BA1132" s="1135"/>
      <c r="BB1132" s="1135"/>
      <c r="BC1132" s="1135"/>
      <c r="BD1132" s="1135"/>
      <c r="BE1132" s="1135"/>
      <c r="BF1132" s="1135"/>
      <c r="BG1132" s="1135"/>
      <c r="BH1132" s="1135"/>
      <c r="BI1132" s="1135"/>
      <c r="BJ1132" s="1135"/>
      <c r="BK1132" s="1135"/>
      <c r="BL1132" s="1135"/>
      <c r="BM1132" s="1135"/>
      <c r="BN1132" s="1135"/>
      <c r="BO1132" s="1135"/>
      <c r="BP1132" s="1135"/>
      <c r="BQ1132" s="1135"/>
      <c r="BR1132" s="1135"/>
      <c r="BS1132" s="1135"/>
      <c r="BT1132" s="1135"/>
    </row>
    <row r="1133" spans="1:72" s="450" customFormat="1" ht="16.350000000000001" customHeight="1" outlineLevel="2">
      <c r="A1133" s="1105"/>
      <c r="B1133" s="1133" t="s">
        <v>54</v>
      </c>
      <c r="C1133" s="1130"/>
      <c r="D1133" s="1130"/>
      <c r="E1133" s="1130">
        <v>0</v>
      </c>
      <c r="F1133" s="1130">
        <v>0</v>
      </c>
      <c r="G1133" s="1130">
        <v>0</v>
      </c>
      <c r="H1133" s="1130">
        <v>0</v>
      </c>
      <c r="I1133" s="1130">
        <v>0</v>
      </c>
      <c r="J1133" s="1130">
        <v>0</v>
      </c>
      <c r="K1133" s="1130">
        <v>0</v>
      </c>
      <c r="L1133" s="1134"/>
      <c r="M1133" s="1134"/>
      <c r="N1133" s="1134"/>
      <c r="O1133" s="1134"/>
      <c r="P1133" s="1134"/>
      <c r="Q1133" s="1134"/>
      <c r="R1133" s="1110"/>
      <c r="S1133" s="1135"/>
      <c r="T1133" s="1135"/>
      <c r="U1133" s="1135"/>
      <c r="V1133" s="1135"/>
      <c r="W1133" s="1135"/>
      <c r="X1133" s="1135"/>
      <c r="Y1133" s="1135"/>
      <c r="Z1133" s="1135"/>
      <c r="AA1133" s="1135"/>
      <c r="AB1133" s="1135"/>
      <c r="AC1133" s="1135"/>
      <c r="AD1133" s="1135"/>
      <c r="AE1133" s="1135"/>
      <c r="AF1133" s="1135"/>
      <c r="AG1133" s="1135"/>
      <c r="AH1133" s="1135"/>
      <c r="AI1133" s="1135"/>
      <c r="AJ1133" s="1135"/>
      <c r="AK1133" s="1135"/>
      <c r="AL1133" s="1135"/>
      <c r="AM1133" s="1135"/>
      <c r="AN1133" s="1135"/>
      <c r="AO1133" s="1135"/>
      <c r="AP1133" s="1135"/>
      <c r="AQ1133" s="1135"/>
      <c r="AR1133" s="1135"/>
      <c r="AS1133" s="1135"/>
      <c r="AT1133" s="1135"/>
      <c r="AU1133" s="1135"/>
      <c r="AV1133" s="1135"/>
      <c r="AW1133" s="1135"/>
      <c r="AX1133" s="1135"/>
      <c r="AY1133" s="1135"/>
      <c r="AZ1133" s="1135"/>
      <c r="BA1133" s="1135"/>
      <c r="BB1133" s="1135"/>
      <c r="BC1133" s="1135"/>
      <c r="BD1133" s="1135"/>
      <c r="BE1133" s="1135"/>
      <c r="BF1133" s="1135"/>
      <c r="BG1133" s="1135"/>
      <c r="BH1133" s="1135"/>
      <c r="BI1133" s="1135"/>
      <c r="BJ1133" s="1135"/>
      <c r="BK1133" s="1135"/>
      <c r="BL1133" s="1135"/>
      <c r="BM1133" s="1135"/>
      <c r="BN1133" s="1135"/>
      <c r="BO1133" s="1135"/>
      <c r="BP1133" s="1135"/>
      <c r="BQ1133" s="1135"/>
      <c r="BR1133" s="1135"/>
      <c r="BS1133" s="1135"/>
      <c r="BT1133" s="1135"/>
    </row>
    <row r="1134" spans="1:72" s="1141" customFormat="1" ht="16.350000000000001" customHeight="1" outlineLevel="2">
      <c r="A1134" s="1105"/>
      <c r="B1134" s="1137" t="s">
        <v>844</v>
      </c>
      <c r="C1134" s="1138"/>
      <c r="D1134" s="1138"/>
      <c r="E1134" s="1138">
        <v>0</v>
      </c>
      <c r="F1134" s="1138">
        <v>0</v>
      </c>
      <c r="G1134" s="1138">
        <f>G1131+G1132+G1133</f>
        <v>0</v>
      </c>
      <c r="H1134" s="1138">
        <f>H1131+H1132+H1133</f>
        <v>0</v>
      </c>
      <c r="I1134" s="1138">
        <f>I1131+I1132+I1133</f>
        <v>0</v>
      </c>
      <c r="J1134" s="1138">
        <f>J1131+J1132+J1133</f>
        <v>0</v>
      </c>
      <c r="K1134" s="1138">
        <f>K1131+K1132+K1133</f>
        <v>0</v>
      </c>
      <c r="L1134" s="1139"/>
      <c r="M1134" s="1139"/>
      <c r="N1134" s="1139"/>
      <c r="O1134" s="1139"/>
      <c r="P1134" s="1139"/>
      <c r="Q1134" s="1139"/>
      <c r="R1134" s="1110"/>
      <c r="S1134" s="1140"/>
      <c r="T1134" s="1140"/>
      <c r="U1134" s="1140"/>
      <c r="V1134" s="1140"/>
      <c r="W1134" s="1140"/>
      <c r="X1134" s="1140"/>
      <c r="Y1134" s="1140"/>
      <c r="Z1134" s="1140"/>
      <c r="AA1134" s="1140"/>
      <c r="AB1134" s="1140"/>
      <c r="AC1134" s="1140"/>
      <c r="AD1134" s="1140"/>
      <c r="AE1134" s="1140"/>
      <c r="AF1134" s="1140"/>
      <c r="AG1134" s="1140"/>
      <c r="AH1134" s="1140"/>
      <c r="AI1134" s="1140"/>
      <c r="AJ1134" s="1140"/>
      <c r="AK1134" s="1140"/>
      <c r="AL1134" s="1140"/>
      <c r="AM1134" s="1140"/>
      <c r="AN1134" s="1140"/>
      <c r="AO1134" s="1140"/>
      <c r="AP1134" s="1140"/>
      <c r="AQ1134" s="1140"/>
      <c r="AR1134" s="1140"/>
      <c r="AS1134" s="1140"/>
      <c r="AT1134" s="1140"/>
      <c r="AU1134" s="1140"/>
      <c r="AV1134" s="1140"/>
      <c r="AW1134" s="1140"/>
      <c r="AX1134" s="1140"/>
      <c r="AY1134" s="1140"/>
      <c r="AZ1134" s="1140"/>
      <c r="BA1134" s="1140"/>
      <c r="BB1134" s="1140"/>
      <c r="BC1134" s="1140"/>
      <c r="BD1134" s="1140"/>
      <c r="BE1134" s="1140"/>
      <c r="BF1134" s="1140"/>
      <c r="BG1134" s="1140"/>
      <c r="BH1134" s="1140"/>
      <c r="BI1134" s="1140"/>
      <c r="BJ1134" s="1140"/>
      <c r="BK1134" s="1140"/>
      <c r="BL1134" s="1140"/>
      <c r="BM1134" s="1140"/>
      <c r="BN1134" s="1140"/>
      <c r="BO1134" s="1140"/>
      <c r="BP1134" s="1140"/>
      <c r="BQ1134" s="1140"/>
      <c r="BR1134" s="1140"/>
      <c r="BS1134" s="1140"/>
      <c r="BT1134" s="1140"/>
    </row>
    <row r="1135" spans="1:72" s="1145" customFormat="1" ht="16.350000000000001" customHeight="1" outlineLevel="2">
      <c r="A1135" s="1105"/>
      <c r="B1135" s="1142"/>
      <c r="C1135" s="1130"/>
      <c r="D1135" s="1130"/>
      <c r="E1135" s="1130"/>
      <c r="F1135" s="1130"/>
      <c r="G1135" s="1130"/>
      <c r="H1135" s="1130"/>
      <c r="I1135" s="1130"/>
      <c r="J1135" s="1130"/>
      <c r="K1135" s="1130"/>
      <c r="L1135" s="1143"/>
      <c r="M1135" s="1143"/>
      <c r="N1135" s="1143"/>
      <c r="O1135" s="1143"/>
      <c r="P1135" s="1143"/>
      <c r="Q1135" s="1143"/>
      <c r="R1135" s="1110"/>
      <c r="S1135" s="1144"/>
      <c r="T1135" s="1144"/>
      <c r="U1135" s="1144"/>
      <c r="V1135" s="1144"/>
      <c r="W1135" s="1144"/>
      <c r="X1135" s="1144"/>
      <c r="Y1135" s="1144"/>
      <c r="Z1135" s="1144"/>
      <c r="AA1135" s="1144"/>
      <c r="AB1135" s="1144"/>
      <c r="AC1135" s="1144"/>
      <c r="AD1135" s="1144"/>
      <c r="AE1135" s="1144"/>
      <c r="AF1135" s="1144"/>
      <c r="AG1135" s="1144"/>
      <c r="AH1135" s="1144"/>
      <c r="AI1135" s="1144"/>
      <c r="AJ1135" s="1144"/>
      <c r="AK1135" s="1144"/>
      <c r="AL1135" s="1144"/>
      <c r="AM1135" s="1144"/>
      <c r="AN1135" s="1144"/>
      <c r="AO1135" s="1144"/>
      <c r="AP1135" s="1144"/>
      <c r="AQ1135" s="1144"/>
      <c r="AR1135" s="1144"/>
      <c r="AS1135" s="1144"/>
      <c r="AT1135" s="1144"/>
      <c r="AU1135" s="1144"/>
      <c r="AV1135" s="1144"/>
      <c r="AW1135" s="1144"/>
      <c r="AX1135" s="1144"/>
      <c r="AY1135" s="1144"/>
      <c r="AZ1135" s="1144"/>
      <c r="BA1135" s="1144"/>
      <c r="BB1135" s="1144"/>
      <c r="BC1135" s="1144"/>
      <c r="BD1135" s="1144"/>
      <c r="BE1135" s="1144"/>
      <c r="BF1135" s="1144"/>
      <c r="BG1135" s="1144"/>
      <c r="BH1135" s="1144"/>
      <c r="BI1135" s="1144"/>
      <c r="BJ1135" s="1144"/>
      <c r="BK1135" s="1144"/>
      <c r="BL1135" s="1144"/>
      <c r="BM1135" s="1144"/>
      <c r="BN1135" s="1144"/>
      <c r="BO1135" s="1144"/>
      <c r="BP1135" s="1144"/>
      <c r="BQ1135" s="1144"/>
      <c r="BR1135" s="1144"/>
      <c r="BS1135" s="1144"/>
      <c r="BT1135" s="1144"/>
    </row>
    <row r="1136" spans="1:72" s="1145" customFormat="1" ht="16.350000000000001" customHeight="1" outlineLevel="2">
      <c r="A1136" s="1105"/>
      <c r="B1136" s="1142" t="s">
        <v>845</v>
      </c>
      <c r="C1136" s="1130"/>
      <c r="D1136" s="1130">
        <v>16040282000</v>
      </c>
      <c r="E1136" s="1130">
        <v>14989340000</v>
      </c>
      <c r="F1136" s="1130">
        <v>13384520000</v>
      </c>
      <c r="G1136" s="1130">
        <f>G1122+G1131</f>
        <v>11692934000</v>
      </c>
      <c r="H1136" s="1130">
        <f>H1122+H1131</f>
        <v>8672020000</v>
      </c>
      <c r="I1136" s="1130">
        <f>I1122+I1131</f>
        <v>6782931000</v>
      </c>
      <c r="J1136" s="1130">
        <f>J1122+J1131</f>
        <v>5750249000</v>
      </c>
      <c r="K1136" s="1130">
        <f>K1122+K1131</f>
        <v>3680231000</v>
      </c>
      <c r="L1136" s="1143"/>
      <c r="M1136" s="1143"/>
      <c r="N1136" s="1143"/>
      <c r="O1136" s="1143"/>
      <c r="P1136" s="1143"/>
      <c r="Q1136" s="1143"/>
      <c r="R1136" s="1110"/>
      <c r="S1136" s="1144"/>
      <c r="T1136" s="1144"/>
      <c r="U1136" s="1144"/>
      <c r="V1136" s="1144"/>
      <c r="W1136" s="1144"/>
      <c r="X1136" s="1144"/>
      <c r="Y1136" s="1144"/>
      <c r="Z1136" s="1144"/>
      <c r="AA1136" s="1144"/>
      <c r="AB1136" s="1144"/>
      <c r="AC1136" s="1144"/>
      <c r="AD1136" s="1144"/>
      <c r="AE1136" s="1144"/>
      <c r="AF1136" s="1144"/>
      <c r="AG1136" s="1144"/>
      <c r="AH1136" s="1144"/>
      <c r="AI1136" s="1144"/>
      <c r="AJ1136" s="1144"/>
      <c r="AK1136" s="1144"/>
      <c r="AL1136" s="1144"/>
      <c r="AM1136" s="1144"/>
      <c r="AN1136" s="1144"/>
      <c r="AO1136" s="1144"/>
      <c r="AP1136" s="1144"/>
      <c r="AQ1136" s="1144"/>
      <c r="AR1136" s="1144"/>
      <c r="AS1136" s="1144"/>
      <c r="AT1136" s="1144"/>
      <c r="AU1136" s="1144"/>
      <c r="AV1136" s="1144"/>
      <c r="AW1136" s="1144"/>
      <c r="AX1136" s="1144"/>
      <c r="AY1136" s="1144"/>
      <c r="AZ1136" s="1144"/>
      <c r="BA1136" s="1144"/>
      <c r="BB1136" s="1144"/>
      <c r="BC1136" s="1144"/>
      <c r="BD1136" s="1144"/>
      <c r="BE1136" s="1144"/>
      <c r="BF1136" s="1144"/>
      <c r="BG1136" s="1144"/>
      <c r="BH1136" s="1144"/>
      <c r="BI1136" s="1144"/>
      <c r="BJ1136" s="1144"/>
      <c r="BK1136" s="1144"/>
      <c r="BL1136" s="1144"/>
      <c r="BM1136" s="1144"/>
      <c r="BN1136" s="1144"/>
      <c r="BO1136" s="1144"/>
      <c r="BP1136" s="1144"/>
      <c r="BQ1136" s="1144"/>
      <c r="BR1136" s="1144"/>
      <c r="BS1136" s="1144"/>
      <c r="BT1136" s="1144"/>
    </row>
    <row r="1137" spans="1:72" s="1145" customFormat="1" ht="16.350000000000001" customHeight="1" outlineLevel="2">
      <c r="A1137" s="1105"/>
      <c r="B1137" s="1146" t="s">
        <v>846</v>
      </c>
      <c r="C1137" s="1130"/>
      <c r="D1137" s="1130">
        <f t="shared" ref="D1137:K1137" si="152">D1138-D1136</f>
        <v>168417000</v>
      </c>
      <c r="E1137" s="1130">
        <f t="shared" si="152"/>
        <v>1050942000</v>
      </c>
      <c r="F1137" s="1130">
        <f t="shared" si="152"/>
        <v>1604820000</v>
      </c>
      <c r="G1137" s="1130">
        <f t="shared" si="152"/>
        <v>1691586000</v>
      </c>
      <c r="H1137" s="1130">
        <f t="shared" si="152"/>
        <v>3020914000</v>
      </c>
      <c r="I1137" s="1130">
        <f t="shared" si="152"/>
        <v>1889089000</v>
      </c>
      <c r="J1137" s="1130">
        <f t="shared" si="152"/>
        <v>1032682000</v>
      </c>
      <c r="K1137" s="1130">
        <f t="shared" si="152"/>
        <v>2070018000</v>
      </c>
      <c r="L1137" s="1143"/>
      <c r="M1137" s="1143"/>
      <c r="N1137" s="1143"/>
      <c r="O1137" s="1143"/>
      <c r="P1137" s="1143"/>
      <c r="Q1137" s="1143"/>
      <c r="R1137" s="1110"/>
      <c r="S1137" s="1144"/>
      <c r="T1137" s="1144"/>
      <c r="U1137" s="1144"/>
      <c r="V1137" s="1144"/>
      <c r="W1137" s="1144"/>
      <c r="X1137" s="1144"/>
      <c r="Y1137" s="1144"/>
      <c r="Z1137" s="1144"/>
      <c r="AA1137" s="1144"/>
      <c r="AB1137" s="1144"/>
      <c r="AC1137" s="1144"/>
      <c r="AD1137" s="1144"/>
      <c r="AE1137" s="1144"/>
      <c r="AF1137" s="1144"/>
      <c r="AG1137" s="1144"/>
      <c r="AH1137" s="1144"/>
      <c r="AI1137" s="1144"/>
      <c r="AJ1137" s="1144"/>
      <c r="AK1137" s="1144"/>
      <c r="AL1137" s="1144"/>
      <c r="AM1137" s="1144"/>
      <c r="AN1137" s="1144"/>
      <c r="AO1137" s="1144"/>
      <c r="AP1137" s="1144"/>
      <c r="AQ1137" s="1144"/>
      <c r="AR1137" s="1144"/>
      <c r="AS1137" s="1144"/>
      <c r="AT1137" s="1144"/>
      <c r="AU1137" s="1144"/>
      <c r="AV1137" s="1144"/>
      <c r="AW1137" s="1144"/>
      <c r="AX1137" s="1144"/>
      <c r="AY1137" s="1144"/>
      <c r="AZ1137" s="1144"/>
      <c r="BA1137" s="1144"/>
      <c r="BB1137" s="1144"/>
      <c r="BC1137" s="1144"/>
      <c r="BD1137" s="1144"/>
      <c r="BE1137" s="1144"/>
      <c r="BF1137" s="1144"/>
      <c r="BG1137" s="1144"/>
      <c r="BH1137" s="1144"/>
      <c r="BI1137" s="1144"/>
      <c r="BJ1137" s="1144"/>
      <c r="BK1137" s="1144"/>
      <c r="BL1137" s="1144"/>
      <c r="BM1137" s="1144"/>
      <c r="BN1137" s="1144"/>
      <c r="BO1137" s="1144"/>
      <c r="BP1137" s="1144"/>
      <c r="BQ1137" s="1144"/>
      <c r="BR1137" s="1144"/>
      <c r="BS1137" s="1144"/>
      <c r="BT1137" s="1144"/>
    </row>
    <row r="1138" spans="1:72" s="1141" customFormat="1" ht="16.350000000000001" customHeight="1" outlineLevel="2">
      <c r="A1138" s="1105"/>
      <c r="B1138" s="1137" t="s">
        <v>847</v>
      </c>
      <c r="C1138" s="1138"/>
      <c r="D1138" s="1138">
        <v>16208699000</v>
      </c>
      <c r="E1138" s="1138">
        <v>16040282000</v>
      </c>
      <c r="F1138" s="1138">
        <v>14989340000</v>
      </c>
      <c r="G1138" s="1138">
        <f>G1129+G1134</f>
        <v>13384520000</v>
      </c>
      <c r="H1138" s="1138">
        <f>H1129+H1134</f>
        <v>11692934000</v>
      </c>
      <c r="I1138" s="1138">
        <f>I1129+I1134</f>
        <v>8672020000</v>
      </c>
      <c r="J1138" s="1138">
        <f>J1129+J1134</f>
        <v>6782931000</v>
      </c>
      <c r="K1138" s="1138">
        <f>K1129+K1134</f>
        <v>5750249000</v>
      </c>
      <c r="L1138" s="1139"/>
      <c r="M1138" s="1139"/>
      <c r="N1138" s="1139"/>
      <c r="O1138" s="1139"/>
      <c r="P1138" s="1139"/>
      <c r="Q1138" s="1139"/>
      <c r="R1138" s="1110"/>
      <c r="S1138" s="1140"/>
      <c r="T1138" s="1140"/>
      <c r="U1138" s="1140"/>
      <c r="V1138" s="1140"/>
      <c r="W1138" s="1140"/>
      <c r="X1138" s="1140"/>
      <c r="Y1138" s="1140"/>
      <c r="Z1138" s="1140"/>
      <c r="AA1138" s="1140"/>
      <c r="AB1138" s="1140"/>
      <c r="AC1138" s="1140"/>
      <c r="AD1138" s="1140"/>
      <c r="AE1138" s="1140"/>
      <c r="AF1138" s="1140"/>
      <c r="AG1138" s="1140"/>
      <c r="AH1138" s="1140"/>
      <c r="AI1138" s="1140"/>
      <c r="AJ1138" s="1140"/>
      <c r="AK1138" s="1140"/>
      <c r="AL1138" s="1140"/>
      <c r="AM1138" s="1140"/>
      <c r="AN1138" s="1140"/>
      <c r="AO1138" s="1140"/>
      <c r="AP1138" s="1140"/>
      <c r="AQ1138" s="1140"/>
      <c r="AR1138" s="1140"/>
      <c r="AS1138" s="1140"/>
      <c r="AT1138" s="1140"/>
      <c r="AU1138" s="1140"/>
      <c r="AV1138" s="1140"/>
      <c r="AW1138" s="1140"/>
      <c r="AX1138" s="1140"/>
      <c r="AY1138" s="1140"/>
      <c r="AZ1138" s="1140"/>
      <c r="BA1138" s="1140"/>
      <c r="BB1138" s="1140"/>
      <c r="BC1138" s="1140"/>
      <c r="BD1138" s="1140"/>
      <c r="BE1138" s="1140"/>
      <c r="BF1138" s="1140"/>
      <c r="BG1138" s="1140"/>
      <c r="BH1138" s="1140"/>
      <c r="BI1138" s="1140"/>
      <c r="BJ1138" s="1140"/>
      <c r="BK1138" s="1140"/>
      <c r="BL1138" s="1140"/>
      <c r="BM1138" s="1140"/>
      <c r="BN1138" s="1140"/>
      <c r="BO1138" s="1140"/>
      <c r="BP1138" s="1140"/>
      <c r="BQ1138" s="1140"/>
      <c r="BR1138" s="1140"/>
      <c r="BS1138" s="1140"/>
      <c r="BT1138" s="1140"/>
    </row>
    <row r="1139" spans="1:72" s="1152" customFormat="1" ht="16.350000000000001" customHeight="1" outlineLevel="2">
      <c r="A1139" s="1105"/>
      <c r="B1139" s="1147"/>
      <c r="C1139" s="1148"/>
      <c r="D1139" s="1148"/>
      <c r="E1139" s="1148"/>
      <c r="F1139" s="1148"/>
      <c r="G1139" s="1148"/>
      <c r="H1139" s="1149"/>
      <c r="I1139" s="1149"/>
      <c r="J1139" s="1149"/>
      <c r="K1139" s="1149"/>
      <c r="L1139" s="1150"/>
      <c r="M1139" s="1150"/>
      <c r="N1139" s="1150"/>
      <c r="O1139" s="1150"/>
      <c r="P1139" s="1151"/>
      <c r="Q1139" s="1151"/>
      <c r="R1139" s="1110"/>
    </row>
    <row r="1140" spans="1:72" s="1125" customFormat="1" ht="16.350000000000001" customHeight="1" outlineLevel="1">
      <c r="A1140" s="1105"/>
      <c r="B1140" s="1126" t="s">
        <v>92</v>
      </c>
      <c r="C1140" s="1122"/>
      <c r="D1140" s="1122">
        <v>247017230000</v>
      </c>
      <c r="E1140" s="1122">
        <v>226884820000</v>
      </c>
      <c r="F1140" s="1122">
        <v>201554710000</v>
      </c>
      <c r="G1140" s="1122">
        <f>G1157</f>
        <v>180216957000</v>
      </c>
      <c r="H1140" s="1127">
        <f>H1157</f>
        <v>146407273000</v>
      </c>
      <c r="I1140" s="1127">
        <f>I1157</f>
        <v>117429597000</v>
      </c>
      <c r="J1140" s="1127">
        <f>J1157</f>
        <v>92893981000</v>
      </c>
      <c r="K1140" s="1127">
        <f>K1157</f>
        <v>66092854000</v>
      </c>
      <c r="L1140" s="1128"/>
      <c r="M1140" s="1128"/>
      <c r="N1140" s="1128"/>
      <c r="O1140" s="1128"/>
      <c r="P1140" s="1128"/>
      <c r="Q1140" s="1128"/>
      <c r="R1140" s="1110"/>
      <c r="S1140" s="1124"/>
      <c r="T1140" s="1124"/>
      <c r="U1140" s="1124"/>
      <c r="V1140" s="1124"/>
      <c r="W1140" s="1124"/>
      <c r="X1140" s="1124"/>
      <c r="Y1140" s="1124"/>
      <c r="Z1140" s="1124"/>
      <c r="AA1140" s="1124"/>
      <c r="AB1140" s="1124"/>
      <c r="AC1140" s="1124"/>
      <c r="AD1140" s="1124"/>
      <c r="AE1140" s="1124"/>
      <c r="AF1140" s="1124"/>
      <c r="AG1140" s="1124"/>
      <c r="AH1140" s="1124"/>
      <c r="AI1140" s="1124"/>
      <c r="AJ1140" s="1124"/>
      <c r="AK1140" s="1124"/>
      <c r="AL1140" s="1124"/>
      <c r="AM1140" s="1124"/>
      <c r="AN1140" s="1124"/>
      <c r="AO1140" s="1124"/>
      <c r="AP1140" s="1124"/>
      <c r="AQ1140" s="1124"/>
      <c r="AR1140" s="1124"/>
      <c r="AS1140" s="1124"/>
      <c r="AT1140" s="1124"/>
      <c r="AU1140" s="1124"/>
      <c r="AV1140" s="1124"/>
      <c r="AW1140" s="1124"/>
      <c r="AX1140" s="1124"/>
      <c r="AY1140" s="1124"/>
      <c r="AZ1140" s="1124"/>
      <c r="BA1140" s="1124"/>
      <c r="BB1140" s="1124"/>
      <c r="BC1140" s="1124"/>
      <c r="BD1140" s="1124"/>
      <c r="BE1140" s="1124"/>
      <c r="BF1140" s="1124"/>
      <c r="BG1140" s="1124"/>
      <c r="BH1140" s="1124"/>
      <c r="BI1140" s="1124"/>
      <c r="BJ1140" s="1124"/>
      <c r="BK1140" s="1124"/>
      <c r="BL1140" s="1124"/>
      <c r="BM1140" s="1124"/>
      <c r="BN1140" s="1124"/>
      <c r="BO1140" s="1124"/>
      <c r="BP1140" s="1124"/>
      <c r="BQ1140" s="1124"/>
      <c r="BR1140" s="1124"/>
      <c r="BS1140" s="1124"/>
      <c r="BT1140" s="1124"/>
    </row>
    <row r="1141" spans="1:72" s="1125" customFormat="1" ht="16.350000000000001" customHeight="1" outlineLevel="2">
      <c r="A1141" s="1105"/>
      <c r="B1141" s="1126"/>
      <c r="C1141" s="1122"/>
      <c r="D1141" s="1122"/>
      <c r="E1141" s="1122"/>
      <c r="F1141" s="1122"/>
      <c r="G1141" s="1122"/>
      <c r="H1141" s="1127"/>
      <c r="I1141" s="1127"/>
      <c r="J1141" s="1127"/>
      <c r="K1141" s="1127"/>
      <c r="L1141" s="1128"/>
      <c r="M1141" s="1128"/>
      <c r="N1141" s="1128"/>
      <c r="O1141" s="1128"/>
      <c r="P1141" s="1128"/>
      <c r="Q1141" s="1128"/>
      <c r="R1141" s="1110"/>
      <c r="S1141" s="1124"/>
      <c r="T1141" s="1124"/>
      <c r="U1141" s="1124"/>
      <c r="V1141" s="1124"/>
      <c r="W1141" s="1124"/>
      <c r="X1141" s="1124"/>
      <c r="Y1141" s="1124"/>
      <c r="Z1141" s="1124"/>
      <c r="AA1141" s="1124"/>
      <c r="AB1141" s="1124"/>
      <c r="AC1141" s="1124"/>
      <c r="AD1141" s="1124"/>
      <c r="AE1141" s="1124"/>
      <c r="AF1141" s="1124"/>
      <c r="AG1141" s="1124"/>
      <c r="AH1141" s="1124"/>
      <c r="AI1141" s="1124"/>
      <c r="AJ1141" s="1124"/>
      <c r="AK1141" s="1124"/>
      <c r="AL1141" s="1124"/>
      <c r="AM1141" s="1124"/>
      <c r="AN1141" s="1124"/>
      <c r="AO1141" s="1124"/>
      <c r="AP1141" s="1124"/>
      <c r="AQ1141" s="1124"/>
      <c r="AR1141" s="1124"/>
      <c r="AS1141" s="1124"/>
      <c r="AT1141" s="1124"/>
      <c r="AU1141" s="1124"/>
      <c r="AV1141" s="1124"/>
      <c r="AW1141" s="1124"/>
      <c r="AX1141" s="1124"/>
      <c r="AY1141" s="1124"/>
      <c r="AZ1141" s="1124"/>
      <c r="BA1141" s="1124"/>
      <c r="BB1141" s="1124"/>
      <c r="BC1141" s="1124"/>
      <c r="BD1141" s="1124"/>
      <c r="BE1141" s="1124"/>
      <c r="BF1141" s="1124"/>
      <c r="BG1141" s="1124"/>
      <c r="BH1141" s="1124"/>
      <c r="BI1141" s="1124"/>
      <c r="BJ1141" s="1124"/>
      <c r="BK1141" s="1124"/>
      <c r="BL1141" s="1124"/>
      <c r="BM1141" s="1124"/>
      <c r="BN1141" s="1124"/>
      <c r="BO1141" s="1124"/>
      <c r="BP1141" s="1124"/>
      <c r="BQ1141" s="1124"/>
      <c r="BR1141" s="1124"/>
      <c r="BS1141" s="1124"/>
      <c r="BT1141" s="1124"/>
    </row>
    <row r="1142" spans="1:72" s="1145" customFormat="1" ht="16.350000000000001" customHeight="1" outlineLevel="2">
      <c r="A1142" s="1105"/>
      <c r="B1142" s="1142" t="s">
        <v>838</v>
      </c>
      <c r="C1142" s="1130"/>
      <c r="D1142" s="1130">
        <v>267229195000</v>
      </c>
      <c r="E1142" s="1130">
        <v>233361003000</v>
      </c>
      <c r="F1142" s="1130">
        <v>204053389000</v>
      </c>
      <c r="G1142" s="1130">
        <f>H1148</f>
        <v>163602640000</v>
      </c>
      <c r="H1142" s="1130">
        <f>I1148</f>
        <v>129345687000</v>
      </c>
      <c r="I1142" s="1130">
        <f>J1148</f>
        <v>100667174000</v>
      </c>
      <c r="J1142" s="1130">
        <f>K1148</f>
        <v>70888640000</v>
      </c>
      <c r="K1142" s="1130">
        <v>46167616000</v>
      </c>
      <c r="L1142" s="1143"/>
      <c r="M1142" s="1143"/>
      <c r="N1142" s="1143"/>
      <c r="O1142" s="1143"/>
      <c r="P1142" s="1143"/>
      <c r="Q1142" s="1143"/>
      <c r="R1142" s="1110"/>
      <c r="S1142" s="1144"/>
      <c r="T1142" s="1144"/>
      <c r="U1142" s="1144"/>
      <c r="V1142" s="1144"/>
      <c r="W1142" s="1144"/>
      <c r="X1142" s="1144"/>
      <c r="Y1142" s="1144"/>
      <c r="Z1142" s="1144"/>
      <c r="AA1142" s="1144"/>
      <c r="AB1142" s="1144"/>
      <c r="AC1142" s="1144"/>
      <c r="AD1142" s="1144"/>
      <c r="AE1142" s="1144"/>
      <c r="AF1142" s="1144"/>
      <c r="AG1142" s="1144"/>
      <c r="AH1142" s="1144"/>
      <c r="AI1142" s="1144"/>
      <c r="AJ1142" s="1144"/>
      <c r="AK1142" s="1144"/>
      <c r="AL1142" s="1144"/>
      <c r="AM1142" s="1144"/>
      <c r="AN1142" s="1144"/>
      <c r="AO1142" s="1144"/>
      <c r="AP1142" s="1144"/>
      <c r="AQ1142" s="1144"/>
      <c r="AR1142" s="1144"/>
      <c r="AS1142" s="1144"/>
      <c r="AT1142" s="1144"/>
      <c r="AU1142" s="1144"/>
      <c r="AV1142" s="1144"/>
      <c r="AW1142" s="1144"/>
      <c r="AX1142" s="1144"/>
      <c r="AY1142" s="1144"/>
      <c r="AZ1142" s="1144"/>
      <c r="BA1142" s="1144"/>
      <c r="BB1142" s="1144"/>
      <c r="BC1142" s="1144"/>
      <c r="BD1142" s="1144"/>
      <c r="BE1142" s="1144"/>
      <c r="BF1142" s="1144"/>
      <c r="BG1142" s="1144"/>
      <c r="BH1142" s="1144"/>
      <c r="BI1142" s="1144"/>
      <c r="BJ1142" s="1144"/>
      <c r="BK1142" s="1144"/>
      <c r="BL1142" s="1144"/>
      <c r="BM1142" s="1144"/>
      <c r="BN1142" s="1144"/>
      <c r="BO1142" s="1144"/>
      <c r="BP1142" s="1144"/>
      <c r="BQ1142" s="1144"/>
      <c r="BR1142" s="1144"/>
      <c r="BS1142" s="1144"/>
      <c r="BT1142" s="1144"/>
    </row>
    <row r="1143" spans="1:72" s="1145" customFormat="1" ht="16.350000000000001" customHeight="1" outlineLevel="2">
      <c r="A1143" s="1105"/>
      <c r="B1143" s="1133" t="s">
        <v>839</v>
      </c>
      <c r="C1143" s="1130"/>
      <c r="D1143" s="1130">
        <v>5271403000</v>
      </c>
      <c r="E1143" s="1130"/>
      <c r="F1143" s="1130"/>
      <c r="G1143" s="1130"/>
      <c r="H1143" s="1130"/>
      <c r="I1143" s="1130"/>
      <c r="J1143" s="1130"/>
      <c r="K1143" s="1130"/>
      <c r="L1143" s="1143"/>
      <c r="M1143" s="1143"/>
      <c r="N1143" s="1143"/>
      <c r="O1143" s="1143"/>
      <c r="P1143" s="1143"/>
      <c r="Q1143" s="1143"/>
      <c r="R1143" s="1110"/>
      <c r="S1143" s="1144"/>
      <c r="T1143" s="1144"/>
      <c r="U1143" s="1144"/>
      <c r="V1143" s="1144"/>
      <c r="W1143" s="1144"/>
      <c r="X1143" s="1144"/>
      <c r="Y1143" s="1144"/>
      <c r="Z1143" s="1144"/>
      <c r="AA1143" s="1144"/>
      <c r="AB1143" s="1144"/>
      <c r="AC1143" s="1144"/>
      <c r="AD1143" s="1144"/>
      <c r="AE1143" s="1144"/>
      <c r="AF1143" s="1144"/>
      <c r="AG1143" s="1144"/>
      <c r="AH1143" s="1144"/>
      <c r="AI1143" s="1144"/>
      <c r="AJ1143" s="1144"/>
      <c r="AK1143" s="1144"/>
      <c r="AL1143" s="1144"/>
      <c r="AM1143" s="1144"/>
      <c r="AN1143" s="1144"/>
      <c r="AO1143" s="1144"/>
      <c r="AP1143" s="1144"/>
      <c r="AQ1143" s="1144"/>
      <c r="AR1143" s="1144"/>
      <c r="AS1143" s="1144"/>
      <c r="AT1143" s="1144"/>
      <c r="AU1143" s="1144"/>
      <c r="AV1143" s="1144"/>
      <c r="AW1143" s="1144"/>
      <c r="AX1143" s="1144"/>
      <c r="AY1143" s="1144"/>
      <c r="AZ1143" s="1144"/>
      <c r="BA1143" s="1144"/>
      <c r="BB1143" s="1144"/>
      <c r="BC1143" s="1144"/>
      <c r="BD1143" s="1144"/>
      <c r="BE1143" s="1144"/>
      <c r="BF1143" s="1144"/>
      <c r="BG1143" s="1144"/>
      <c r="BH1143" s="1144"/>
      <c r="BI1143" s="1144"/>
      <c r="BJ1143" s="1144"/>
      <c r="BK1143" s="1144"/>
      <c r="BL1143" s="1144"/>
      <c r="BM1143" s="1144"/>
      <c r="BN1143" s="1144"/>
      <c r="BO1143" s="1144"/>
      <c r="BP1143" s="1144"/>
      <c r="BQ1143" s="1144"/>
      <c r="BR1143" s="1144"/>
      <c r="BS1143" s="1144"/>
      <c r="BT1143" s="1144"/>
    </row>
    <row r="1144" spans="1:72" s="450" customFormat="1" ht="16.350000000000001" customHeight="1" outlineLevel="2">
      <c r="A1144" s="1105"/>
      <c r="B1144" s="1133" t="s">
        <v>53</v>
      </c>
      <c r="C1144" s="1130"/>
      <c r="D1144" s="1130">
        <v>153250000</v>
      </c>
      <c r="E1144" s="1130">
        <v>192252000</v>
      </c>
      <c r="F1144" s="1130">
        <v>0</v>
      </c>
      <c r="G1144" s="1130">
        <v>0</v>
      </c>
      <c r="H1144" s="1130">
        <v>0</v>
      </c>
      <c r="I1144" s="1130">
        <v>0</v>
      </c>
      <c r="J1144" s="1130">
        <v>0</v>
      </c>
      <c r="K1144" s="1130">
        <v>0</v>
      </c>
      <c r="L1144" s="1134"/>
      <c r="M1144" s="1134"/>
      <c r="N1144" s="1134"/>
      <c r="O1144" s="1134"/>
      <c r="P1144" s="1134"/>
      <c r="Q1144" s="1134"/>
      <c r="R1144" s="1110"/>
      <c r="S1144" s="1135"/>
      <c r="T1144" s="1135"/>
      <c r="U1144" s="1135"/>
      <c r="V1144" s="1135"/>
      <c r="W1144" s="1135"/>
      <c r="X1144" s="1135"/>
      <c r="Y1144" s="1135"/>
      <c r="Z1144" s="1135"/>
      <c r="AA1144" s="1135"/>
      <c r="AB1144" s="1135"/>
      <c r="AC1144" s="1135"/>
      <c r="AD1144" s="1135"/>
      <c r="AE1144" s="1135"/>
      <c r="AF1144" s="1135"/>
      <c r="AG1144" s="1135"/>
      <c r="AH1144" s="1135"/>
      <c r="AI1144" s="1135"/>
      <c r="AJ1144" s="1135"/>
      <c r="AK1144" s="1135"/>
      <c r="AL1144" s="1135"/>
      <c r="AM1144" s="1135"/>
      <c r="AN1144" s="1135"/>
      <c r="AO1144" s="1135"/>
      <c r="AP1144" s="1135"/>
      <c r="AQ1144" s="1135"/>
      <c r="AR1144" s="1135"/>
      <c r="AS1144" s="1135"/>
      <c r="AT1144" s="1135"/>
      <c r="AU1144" s="1135"/>
      <c r="AV1144" s="1135"/>
      <c r="AW1144" s="1135"/>
      <c r="AX1144" s="1135"/>
      <c r="AY1144" s="1135"/>
      <c r="AZ1144" s="1135"/>
      <c r="BA1144" s="1135"/>
      <c r="BB1144" s="1135"/>
      <c r="BC1144" s="1135"/>
      <c r="BD1144" s="1135"/>
      <c r="BE1144" s="1135"/>
      <c r="BF1144" s="1135"/>
      <c r="BG1144" s="1135"/>
      <c r="BH1144" s="1135"/>
      <c r="BI1144" s="1135"/>
      <c r="BJ1144" s="1135"/>
      <c r="BK1144" s="1135"/>
      <c r="BL1144" s="1135"/>
      <c r="BM1144" s="1135"/>
      <c r="BN1144" s="1135"/>
      <c r="BO1144" s="1135"/>
      <c r="BP1144" s="1135"/>
      <c r="BQ1144" s="1135"/>
      <c r="BR1144" s="1135"/>
      <c r="BS1144" s="1135"/>
      <c r="BT1144" s="1135"/>
    </row>
    <row r="1145" spans="1:72" s="450" customFormat="1" ht="16.350000000000001" customHeight="1" outlineLevel="2">
      <c r="A1145" s="1105"/>
      <c r="B1145" s="1133" t="s">
        <v>840</v>
      </c>
      <c r="C1145" s="1130"/>
      <c r="D1145" s="1130"/>
      <c r="E1145" s="1130">
        <v>0</v>
      </c>
      <c r="F1145" s="1130">
        <v>0</v>
      </c>
      <c r="G1145" s="1130">
        <v>0</v>
      </c>
      <c r="H1145" s="1130">
        <v>0</v>
      </c>
      <c r="I1145" s="1130">
        <v>240715000</v>
      </c>
      <c r="J1145" s="1130">
        <v>0</v>
      </c>
      <c r="K1145" s="1130">
        <v>0</v>
      </c>
      <c r="L1145" s="1134"/>
      <c r="M1145" s="1134"/>
      <c r="N1145" s="1134"/>
      <c r="O1145" s="1134"/>
      <c r="P1145" s="1134"/>
      <c r="Q1145" s="1134"/>
      <c r="R1145" s="1110"/>
      <c r="S1145" s="1135"/>
      <c r="T1145" s="1135"/>
      <c r="U1145" s="1135"/>
      <c r="V1145" s="1135"/>
      <c r="W1145" s="1135"/>
      <c r="X1145" s="1135"/>
      <c r="Y1145" s="1135"/>
      <c r="Z1145" s="1135"/>
      <c r="AA1145" s="1135"/>
      <c r="AB1145" s="1135"/>
      <c r="AC1145" s="1135"/>
      <c r="AD1145" s="1135"/>
      <c r="AE1145" s="1135"/>
      <c r="AF1145" s="1135"/>
      <c r="AG1145" s="1135"/>
      <c r="AH1145" s="1135"/>
      <c r="AI1145" s="1135"/>
      <c r="AJ1145" s="1135"/>
      <c r="AK1145" s="1135"/>
      <c r="AL1145" s="1135"/>
      <c r="AM1145" s="1135"/>
      <c r="AN1145" s="1135"/>
      <c r="AO1145" s="1135"/>
      <c r="AP1145" s="1135"/>
      <c r="AQ1145" s="1135"/>
      <c r="AR1145" s="1135"/>
      <c r="AS1145" s="1135"/>
      <c r="AT1145" s="1135"/>
      <c r="AU1145" s="1135"/>
      <c r="AV1145" s="1135"/>
      <c r="AW1145" s="1135"/>
      <c r="AX1145" s="1135"/>
      <c r="AY1145" s="1135"/>
      <c r="AZ1145" s="1135"/>
      <c r="BA1145" s="1135"/>
      <c r="BB1145" s="1135"/>
      <c r="BC1145" s="1135"/>
      <c r="BD1145" s="1135"/>
      <c r="BE1145" s="1135"/>
      <c r="BF1145" s="1135"/>
      <c r="BG1145" s="1135"/>
      <c r="BH1145" s="1135"/>
      <c r="BI1145" s="1135"/>
      <c r="BJ1145" s="1135"/>
      <c r="BK1145" s="1135"/>
      <c r="BL1145" s="1135"/>
      <c r="BM1145" s="1135"/>
      <c r="BN1145" s="1135"/>
      <c r="BO1145" s="1135"/>
      <c r="BP1145" s="1135"/>
      <c r="BQ1145" s="1135"/>
      <c r="BR1145" s="1135"/>
      <c r="BS1145" s="1135"/>
      <c r="BT1145" s="1135"/>
    </row>
    <row r="1146" spans="1:72" s="450" customFormat="1" ht="16.350000000000001" customHeight="1" outlineLevel="2">
      <c r="A1146" s="1105"/>
      <c r="B1146" s="1133" t="s">
        <v>93</v>
      </c>
      <c r="C1146" s="1130"/>
      <c r="D1146" s="1130">
        <v>29472659000</v>
      </c>
      <c r="E1146" s="1130">
        <v>40036277000</v>
      </c>
      <c r="F1146" s="1130">
        <v>30922243000</v>
      </c>
      <c r="G1146" s="1130">
        <v>40760145000</v>
      </c>
      <c r="H1146" s="1130">
        <v>34698216000</v>
      </c>
      <c r="I1146" s="1130">
        <v>29057656000</v>
      </c>
      <c r="J1146" s="1130">
        <v>29916785000</v>
      </c>
      <c r="K1146" s="1130">
        <v>24825341000</v>
      </c>
      <c r="L1146" s="1134"/>
      <c r="M1146" s="1134"/>
      <c r="N1146" s="1134"/>
      <c r="O1146" s="1134"/>
      <c r="P1146" s="1134"/>
      <c r="Q1146" s="1134"/>
      <c r="R1146" s="1110"/>
      <c r="S1146" s="1135"/>
      <c r="T1146" s="1135"/>
      <c r="U1146" s="1135"/>
      <c r="V1146" s="1135"/>
      <c r="W1146" s="1135"/>
      <c r="X1146" s="1135"/>
      <c r="Y1146" s="1135"/>
      <c r="Z1146" s="1135"/>
      <c r="AA1146" s="1135"/>
      <c r="AB1146" s="1135"/>
      <c r="AC1146" s="1135"/>
      <c r="AD1146" s="1135"/>
      <c r="AE1146" s="1135"/>
      <c r="AF1146" s="1135"/>
      <c r="AG1146" s="1135"/>
      <c r="AH1146" s="1135"/>
      <c r="AI1146" s="1135"/>
      <c r="AJ1146" s="1135"/>
      <c r="AK1146" s="1135"/>
      <c r="AL1146" s="1135"/>
      <c r="AM1146" s="1135"/>
      <c r="AN1146" s="1135"/>
      <c r="AO1146" s="1135"/>
      <c r="AP1146" s="1135"/>
      <c r="AQ1146" s="1135"/>
      <c r="AR1146" s="1135"/>
      <c r="AS1146" s="1135"/>
      <c r="AT1146" s="1135"/>
      <c r="AU1146" s="1135"/>
      <c r="AV1146" s="1135"/>
      <c r="AW1146" s="1135"/>
      <c r="AX1146" s="1135"/>
      <c r="AY1146" s="1135"/>
      <c r="AZ1146" s="1135"/>
      <c r="BA1146" s="1135"/>
      <c r="BB1146" s="1135"/>
      <c r="BC1146" s="1135"/>
      <c r="BD1146" s="1135"/>
      <c r="BE1146" s="1135"/>
      <c r="BF1146" s="1135"/>
      <c r="BG1146" s="1135"/>
      <c r="BH1146" s="1135"/>
      <c r="BI1146" s="1135"/>
      <c r="BJ1146" s="1135"/>
      <c r="BK1146" s="1135"/>
      <c r="BL1146" s="1135"/>
      <c r="BM1146" s="1135"/>
      <c r="BN1146" s="1135"/>
      <c r="BO1146" s="1135"/>
      <c r="BP1146" s="1135"/>
      <c r="BQ1146" s="1135"/>
      <c r="BR1146" s="1135"/>
      <c r="BS1146" s="1135"/>
      <c r="BT1146" s="1135"/>
    </row>
    <row r="1147" spans="1:72" s="450" customFormat="1" ht="16.350000000000001" customHeight="1" outlineLevel="2">
      <c r="A1147" s="1105"/>
      <c r="B1147" s="1133" t="s">
        <v>54</v>
      </c>
      <c r="C1147" s="1130"/>
      <c r="D1147" s="1130">
        <v>-4212633000</v>
      </c>
      <c r="E1147" s="1130">
        <v>-6360337000</v>
      </c>
      <c r="F1147" s="1130">
        <v>-1614629000</v>
      </c>
      <c r="G1147" s="1130">
        <v>-309396000</v>
      </c>
      <c r="H1147" s="1130">
        <v>-441263000</v>
      </c>
      <c r="I1147" s="1130">
        <v>-619858000</v>
      </c>
      <c r="J1147" s="1130">
        <v>-138251000</v>
      </c>
      <c r="K1147" s="1130">
        <v>-104317000</v>
      </c>
      <c r="L1147" s="1134"/>
      <c r="M1147" s="1134"/>
      <c r="N1147" s="1134"/>
      <c r="O1147" s="1134"/>
      <c r="P1147" s="1134"/>
      <c r="Q1147" s="1134"/>
      <c r="R1147" s="1110"/>
      <c r="S1147" s="1135"/>
      <c r="T1147" s="1135"/>
      <c r="U1147" s="1135"/>
      <c r="V1147" s="1135"/>
      <c r="W1147" s="1135"/>
      <c r="X1147" s="1135"/>
      <c r="Y1147" s="1135"/>
      <c r="Z1147" s="1135"/>
      <c r="AA1147" s="1135"/>
      <c r="AB1147" s="1135"/>
      <c r="AC1147" s="1135"/>
      <c r="AD1147" s="1135"/>
      <c r="AE1147" s="1135"/>
      <c r="AF1147" s="1135"/>
      <c r="AG1147" s="1135"/>
      <c r="AH1147" s="1135"/>
      <c r="AI1147" s="1135"/>
      <c r="AJ1147" s="1135"/>
      <c r="AK1147" s="1135"/>
      <c r="AL1147" s="1135"/>
      <c r="AM1147" s="1135"/>
      <c r="AN1147" s="1135"/>
      <c r="AO1147" s="1135"/>
      <c r="AP1147" s="1135"/>
      <c r="AQ1147" s="1135"/>
      <c r="AR1147" s="1135"/>
      <c r="AS1147" s="1135"/>
      <c r="AT1147" s="1135"/>
      <c r="AU1147" s="1135"/>
      <c r="AV1147" s="1135"/>
      <c r="AW1147" s="1135"/>
      <c r="AX1147" s="1135"/>
      <c r="AY1147" s="1135"/>
      <c r="AZ1147" s="1135"/>
      <c r="BA1147" s="1135"/>
      <c r="BB1147" s="1135"/>
      <c r="BC1147" s="1135"/>
      <c r="BD1147" s="1135"/>
      <c r="BE1147" s="1135"/>
      <c r="BF1147" s="1135"/>
      <c r="BG1147" s="1135"/>
      <c r="BH1147" s="1135"/>
      <c r="BI1147" s="1135"/>
      <c r="BJ1147" s="1135"/>
      <c r="BK1147" s="1135"/>
      <c r="BL1147" s="1135"/>
      <c r="BM1147" s="1135"/>
      <c r="BN1147" s="1135"/>
      <c r="BO1147" s="1135"/>
      <c r="BP1147" s="1135"/>
      <c r="BQ1147" s="1135"/>
      <c r="BR1147" s="1135"/>
      <c r="BS1147" s="1135"/>
      <c r="BT1147" s="1135"/>
    </row>
    <row r="1148" spans="1:72" s="1141" customFormat="1" ht="16.350000000000001" customHeight="1" outlineLevel="2">
      <c r="A1148" s="1105"/>
      <c r="B1148" s="1137" t="s">
        <v>842</v>
      </c>
      <c r="C1148" s="1138"/>
      <c r="D1148" s="1138">
        <v>297913874000</v>
      </c>
      <c r="E1148" s="1138">
        <v>267229195000</v>
      </c>
      <c r="F1148" s="1138">
        <v>233361003000</v>
      </c>
      <c r="G1148" s="1138">
        <f>G1142+G1144+G1145+G1146+G1147</f>
        <v>204053389000</v>
      </c>
      <c r="H1148" s="1138">
        <f>H1142+H1144+H1145+H1146+H1147</f>
        <v>163602640000</v>
      </c>
      <c r="I1148" s="1138">
        <f>I1142+I1144+I1145+I1146+I1147</f>
        <v>129345687000</v>
      </c>
      <c r="J1148" s="1138">
        <f>J1142+J1144+J1145+J1146+J1147</f>
        <v>100667174000</v>
      </c>
      <c r="K1148" s="1138">
        <f>K1142+K1144+K1145+K1146+K1147</f>
        <v>70888640000</v>
      </c>
      <c r="L1148" s="1139"/>
      <c r="M1148" s="1139"/>
      <c r="N1148" s="1139"/>
      <c r="O1148" s="1139"/>
      <c r="P1148" s="1139"/>
      <c r="Q1148" s="1139"/>
      <c r="R1148" s="1110"/>
      <c r="S1148" s="1140"/>
      <c r="T1148" s="1140"/>
      <c r="U1148" s="1140"/>
      <c r="V1148" s="1140"/>
      <c r="W1148" s="1140"/>
      <c r="X1148" s="1140"/>
      <c r="Y1148" s="1140"/>
      <c r="Z1148" s="1140"/>
      <c r="AA1148" s="1140"/>
      <c r="AB1148" s="1140"/>
      <c r="AC1148" s="1140"/>
      <c r="AD1148" s="1140"/>
      <c r="AE1148" s="1140"/>
      <c r="AF1148" s="1140"/>
      <c r="AG1148" s="1140"/>
      <c r="AH1148" s="1140"/>
      <c r="AI1148" s="1140"/>
      <c r="AJ1148" s="1140"/>
      <c r="AK1148" s="1140"/>
      <c r="AL1148" s="1140"/>
      <c r="AM1148" s="1140"/>
      <c r="AN1148" s="1140"/>
      <c r="AO1148" s="1140"/>
      <c r="AP1148" s="1140"/>
      <c r="AQ1148" s="1140"/>
      <c r="AR1148" s="1140"/>
      <c r="AS1148" s="1140"/>
      <c r="AT1148" s="1140"/>
      <c r="AU1148" s="1140"/>
      <c r="AV1148" s="1140"/>
      <c r="AW1148" s="1140"/>
      <c r="AX1148" s="1140"/>
      <c r="AY1148" s="1140"/>
      <c r="AZ1148" s="1140"/>
      <c r="BA1148" s="1140"/>
      <c r="BB1148" s="1140"/>
      <c r="BC1148" s="1140"/>
      <c r="BD1148" s="1140"/>
      <c r="BE1148" s="1140"/>
      <c r="BF1148" s="1140"/>
      <c r="BG1148" s="1140"/>
      <c r="BH1148" s="1140"/>
      <c r="BI1148" s="1140"/>
      <c r="BJ1148" s="1140"/>
      <c r="BK1148" s="1140"/>
      <c r="BL1148" s="1140"/>
      <c r="BM1148" s="1140"/>
      <c r="BN1148" s="1140"/>
      <c r="BO1148" s="1140"/>
      <c r="BP1148" s="1140"/>
      <c r="BQ1148" s="1140"/>
      <c r="BR1148" s="1140"/>
      <c r="BS1148" s="1140"/>
      <c r="BT1148" s="1140"/>
    </row>
    <row r="1149" spans="1:72" s="1145" customFormat="1" ht="16.350000000000001" customHeight="1" outlineLevel="2">
      <c r="A1149" s="1105"/>
      <c r="B1149" s="1142"/>
      <c r="C1149" s="1130"/>
      <c r="D1149" s="1130"/>
      <c r="E1149" s="1130"/>
      <c r="F1149" s="1130"/>
      <c r="G1149" s="1130"/>
      <c r="H1149" s="1130"/>
      <c r="I1149" s="1130"/>
      <c r="J1149" s="1130"/>
      <c r="K1149" s="1130"/>
      <c r="L1149" s="1143"/>
      <c r="M1149" s="1143"/>
      <c r="N1149" s="1143"/>
      <c r="O1149" s="1143"/>
      <c r="P1149" s="1143"/>
      <c r="Q1149" s="1143"/>
      <c r="R1149" s="1110"/>
      <c r="S1149" s="1144"/>
      <c r="T1149" s="1144"/>
      <c r="U1149" s="1144"/>
      <c r="V1149" s="1144"/>
      <c r="W1149" s="1144"/>
      <c r="X1149" s="1144"/>
      <c r="Y1149" s="1144"/>
      <c r="Z1149" s="1144"/>
      <c r="AA1149" s="1144"/>
      <c r="AB1149" s="1144"/>
      <c r="AC1149" s="1144"/>
      <c r="AD1149" s="1144"/>
      <c r="AE1149" s="1144"/>
      <c r="AF1149" s="1144"/>
      <c r="AG1149" s="1144"/>
      <c r="AH1149" s="1144"/>
      <c r="AI1149" s="1144"/>
      <c r="AJ1149" s="1144"/>
      <c r="AK1149" s="1144"/>
      <c r="AL1149" s="1144"/>
      <c r="AM1149" s="1144"/>
      <c r="AN1149" s="1144"/>
      <c r="AO1149" s="1144"/>
      <c r="AP1149" s="1144"/>
      <c r="AQ1149" s="1144"/>
      <c r="AR1149" s="1144"/>
      <c r="AS1149" s="1144"/>
      <c r="AT1149" s="1144"/>
      <c r="AU1149" s="1144"/>
      <c r="AV1149" s="1144"/>
      <c r="AW1149" s="1144"/>
      <c r="AX1149" s="1144"/>
      <c r="AY1149" s="1144"/>
      <c r="AZ1149" s="1144"/>
      <c r="BA1149" s="1144"/>
      <c r="BB1149" s="1144"/>
      <c r="BC1149" s="1144"/>
      <c r="BD1149" s="1144"/>
      <c r="BE1149" s="1144"/>
      <c r="BF1149" s="1144"/>
      <c r="BG1149" s="1144"/>
      <c r="BH1149" s="1144"/>
      <c r="BI1149" s="1144"/>
      <c r="BJ1149" s="1144"/>
      <c r="BK1149" s="1144"/>
      <c r="BL1149" s="1144"/>
      <c r="BM1149" s="1144"/>
      <c r="BN1149" s="1144"/>
      <c r="BO1149" s="1144"/>
      <c r="BP1149" s="1144"/>
      <c r="BQ1149" s="1144"/>
      <c r="BR1149" s="1144"/>
      <c r="BS1149" s="1144"/>
      <c r="BT1149" s="1144"/>
    </row>
    <row r="1150" spans="1:72" s="1145" customFormat="1" ht="16.350000000000001" customHeight="1" outlineLevel="2">
      <c r="A1150" s="1105"/>
      <c r="B1150" s="1142" t="s">
        <v>843</v>
      </c>
      <c r="C1150" s="1130"/>
      <c r="D1150" s="1130">
        <v>-40344375000</v>
      </c>
      <c r="E1150" s="1130">
        <v>-31806293000</v>
      </c>
      <c r="F1150" s="1130">
        <v>-23836432000</v>
      </c>
      <c r="G1150" s="1130">
        <f>H1153</f>
        <v>-17195367000</v>
      </c>
      <c r="H1150" s="1130">
        <f>I1153</f>
        <v>-11916090000</v>
      </c>
      <c r="I1150" s="1130">
        <v>-7773193000</v>
      </c>
      <c r="J1150" s="1130">
        <f>K1153</f>
        <v>-4795786000</v>
      </c>
      <c r="K1150" s="1130">
        <v>-2792828000</v>
      </c>
      <c r="L1150" s="1143"/>
      <c r="M1150" s="1143"/>
      <c r="N1150" s="1143"/>
      <c r="O1150" s="1143"/>
      <c r="P1150" s="1143"/>
      <c r="Q1150" s="1143"/>
      <c r="R1150" s="1110"/>
      <c r="S1150" s="1144"/>
      <c r="T1150" s="1144"/>
      <c r="U1150" s="1144"/>
      <c r="V1150" s="1144"/>
      <c r="W1150" s="1144"/>
      <c r="X1150" s="1144"/>
      <c r="Y1150" s="1144"/>
      <c r="Z1150" s="1144"/>
      <c r="AA1150" s="1144"/>
      <c r="AB1150" s="1144"/>
      <c r="AC1150" s="1144"/>
      <c r="AD1150" s="1144"/>
      <c r="AE1150" s="1144"/>
      <c r="AF1150" s="1144"/>
      <c r="AG1150" s="1144"/>
      <c r="AH1150" s="1144"/>
      <c r="AI1150" s="1144"/>
      <c r="AJ1150" s="1144"/>
      <c r="AK1150" s="1144"/>
      <c r="AL1150" s="1144"/>
      <c r="AM1150" s="1144"/>
      <c r="AN1150" s="1144"/>
      <c r="AO1150" s="1144"/>
      <c r="AP1150" s="1144"/>
      <c r="AQ1150" s="1144"/>
      <c r="AR1150" s="1144"/>
      <c r="AS1150" s="1144"/>
      <c r="AT1150" s="1144"/>
      <c r="AU1150" s="1144"/>
      <c r="AV1150" s="1144"/>
      <c r="AW1150" s="1144"/>
      <c r="AX1150" s="1144"/>
      <c r="AY1150" s="1144"/>
      <c r="AZ1150" s="1144"/>
      <c r="BA1150" s="1144"/>
      <c r="BB1150" s="1144"/>
      <c r="BC1150" s="1144"/>
      <c r="BD1150" s="1144"/>
      <c r="BE1150" s="1144"/>
      <c r="BF1150" s="1144"/>
      <c r="BG1150" s="1144"/>
      <c r="BH1150" s="1144"/>
      <c r="BI1150" s="1144"/>
      <c r="BJ1150" s="1144"/>
      <c r="BK1150" s="1144"/>
      <c r="BL1150" s="1144"/>
      <c r="BM1150" s="1144"/>
      <c r="BN1150" s="1144"/>
      <c r="BO1150" s="1144"/>
      <c r="BP1150" s="1144"/>
      <c r="BQ1150" s="1144"/>
      <c r="BR1150" s="1144"/>
      <c r="BS1150" s="1144"/>
      <c r="BT1150" s="1144"/>
    </row>
    <row r="1151" spans="1:72" s="450" customFormat="1" ht="16.350000000000001" customHeight="1" outlineLevel="2">
      <c r="A1151" s="1105"/>
      <c r="B1151" s="1133" t="s">
        <v>94</v>
      </c>
      <c r="C1151" s="1130"/>
      <c r="D1151" s="1130">
        <v>-15026930000</v>
      </c>
      <c r="E1151" s="1130">
        <v>-14906594000</v>
      </c>
      <c r="F1151" s="1130">
        <v>-9238475000</v>
      </c>
      <c r="G1151" s="1130">
        <v>-6670053000</v>
      </c>
      <c r="H1151" s="1130">
        <v>-5311324000</v>
      </c>
      <c r="I1151" s="1130">
        <v>-4204771000</v>
      </c>
      <c r="J1151" s="1130">
        <v>-3003828000</v>
      </c>
      <c r="K1151" s="1130">
        <v>-2007205000</v>
      </c>
      <c r="L1151" s="1134"/>
      <c r="M1151" s="1134"/>
      <c r="N1151" s="1134"/>
      <c r="O1151" s="1134"/>
      <c r="P1151" s="1134"/>
      <c r="Q1151" s="1134"/>
      <c r="R1151" s="1110"/>
      <c r="S1151" s="1135"/>
      <c r="T1151" s="1135"/>
      <c r="U1151" s="1135"/>
      <c r="V1151" s="1135"/>
      <c r="W1151" s="1135"/>
      <c r="X1151" s="1135"/>
      <c r="Y1151" s="1135"/>
      <c r="Z1151" s="1135"/>
      <c r="AA1151" s="1135"/>
      <c r="AB1151" s="1135"/>
      <c r="AC1151" s="1135"/>
      <c r="AD1151" s="1135"/>
      <c r="AE1151" s="1135"/>
      <c r="AF1151" s="1135"/>
      <c r="AG1151" s="1135"/>
      <c r="AH1151" s="1135"/>
      <c r="AI1151" s="1135"/>
      <c r="AJ1151" s="1135"/>
      <c r="AK1151" s="1135"/>
      <c r="AL1151" s="1135"/>
      <c r="AM1151" s="1135"/>
      <c r="AN1151" s="1135"/>
      <c r="AO1151" s="1135"/>
      <c r="AP1151" s="1135"/>
      <c r="AQ1151" s="1135"/>
      <c r="AR1151" s="1135"/>
      <c r="AS1151" s="1135"/>
      <c r="AT1151" s="1135"/>
      <c r="AU1151" s="1135"/>
      <c r="AV1151" s="1135"/>
      <c r="AW1151" s="1135"/>
      <c r="AX1151" s="1135"/>
      <c r="AY1151" s="1135"/>
      <c r="AZ1151" s="1135"/>
      <c r="BA1151" s="1135"/>
      <c r="BB1151" s="1135"/>
      <c r="BC1151" s="1135"/>
      <c r="BD1151" s="1135"/>
      <c r="BE1151" s="1135"/>
      <c r="BF1151" s="1135"/>
      <c r="BG1151" s="1135"/>
      <c r="BH1151" s="1135"/>
      <c r="BI1151" s="1135"/>
      <c r="BJ1151" s="1135"/>
      <c r="BK1151" s="1135"/>
      <c r="BL1151" s="1135"/>
      <c r="BM1151" s="1135"/>
      <c r="BN1151" s="1135"/>
      <c r="BO1151" s="1135"/>
      <c r="BP1151" s="1135"/>
      <c r="BQ1151" s="1135"/>
      <c r="BR1151" s="1135"/>
      <c r="BS1151" s="1135"/>
      <c r="BT1151" s="1135"/>
    </row>
    <row r="1152" spans="1:72" s="450" customFormat="1" ht="16.350000000000001" customHeight="1" outlineLevel="2">
      <c r="A1152" s="1105"/>
      <c r="B1152" s="1133" t="s">
        <v>54</v>
      </c>
      <c r="C1152" s="1130"/>
      <c r="D1152" s="1130">
        <v>4474661000</v>
      </c>
      <c r="E1152" s="1130">
        <v>6368512000</v>
      </c>
      <c r="F1152" s="1130">
        <v>1268614000</v>
      </c>
      <c r="G1152" s="1130">
        <v>28988000</v>
      </c>
      <c r="H1152" s="1130">
        <v>32047000</v>
      </c>
      <c r="I1152" s="1130">
        <v>61874000</v>
      </c>
      <c r="J1152" s="1130">
        <v>26421000</v>
      </c>
      <c r="K1152" s="1130">
        <v>4248000</v>
      </c>
      <c r="L1152" s="1134"/>
      <c r="M1152" s="1134"/>
      <c r="N1152" s="1134"/>
      <c r="O1152" s="1134"/>
      <c r="P1152" s="1134"/>
      <c r="Q1152" s="1134"/>
      <c r="R1152" s="1110"/>
      <c r="S1152" s="1135"/>
      <c r="T1152" s="1135"/>
      <c r="U1152" s="1135"/>
      <c r="V1152" s="1135"/>
      <c r="W1152" s="1135"/>
      <c r="X1152" s="1135"/>
      <c r="Y1152" s="1135"/>
      <c r="Z1152" s="1135"/>
      <c r="AA1152" s="1135"/>
      <c r="AB1152" s="1135"/>
      <c r="AC1152" s="1135"/>
      <c r="AD1152" s="1135"/>
      <c r="AE1152" s="1135"/>
      <c r="AF1152" s="1135"/>
      <c r="AG1152" s="1135"/>
      <c r="AH1152" s="1135"/>
      <c r="AI1152" s="1135"/>
      <c r="AJ1152" s="1135"/>
      <c r="AK1152" s="1135"/>
      <c r="AL1152" s="1135"/>
      <c r="AM1152" s="1135"/>
      <c r="AN1152" s="1135"/>
      <c r="AO1152" s="1135"/>
      <c r="AP1152" s="1135"/>
      <c r="AQ1152" s="1135"/>
      <c r="AR1152" s="1135"/>
      <c r="AS1152" s="1135"/>
      <c r="AT1152" s="1135"/>
      <c r="AU1152" s="1135"/>
      <c r="AV1152" s="1135"/>
      <c r="AW1152" s="1135"/>
      <c r="AX1152" s="1135"/>
      <c r="AY1152" s="1135"/>
      <c r="AZ1152" s="1135"/>
      <c r="BA1152" s="1135"/>
      <c r="BB1152" s="1135"/>
      <c r="BC1152" s="1135"/>
      <c r="BD1152" s="1135"/>
      <c r="BE1152" s="1135"/>
      <c r="BF1152" s="1135"/>
      <c r="BG1152" s="1135"/>
      <c r="BH1152" s="1135"/>
      <c r="BI1152" s="1135"/>
      <c r="BJ1152" s="1135"/>
      <c r="BK1152" s="1135"/>
      <c r="BL1152" s="1135"/>
      <c r="BM1152" s="1135"/>
      <c r="BN1152" s="1135"/>
      <c r="BO1152" s="1135"/>
      <c r="BP1152" s="1135"/>
      <c r="BQ1152" s="1135"/>
      <c r="BR1152" s="1135"/>
      <c r="BS1152" s="1135"/>
      <c r="BT1152" s="1135"/>
    </row>
    <row r="1153" spans="1:72" s="1141" customFormat="1" ht="16.350000000000001" customHeight="1" outlineLevel="2">
      <c r="A1153" s="1105"/>
      <c r="B1153" s="1137" t="s">
        <v>844</v>
      </c>
      <c r="C1153" s="1138"/>
      <c r="D1153" s="1138">
        <v>-50896644000</v>
      </c>
      <c r="E1153" s="1138">
        <v>-40344375000</v>
      </c>
      <c r="F1153" s="1138">
        <v>-31806293000</v>
      </c>
      <c r="G1153" s="1138">
        <f>G1150+G1151+G1152</f>
        <v>-23836432000</v>
      </c>
      <c r="H1153" s="1138">
        <f>H1150+H1151+H1152</f>
        <v>-17195367000</v>
      </c>
      <c r="I1153" s="1138">
        <f>I1150+I1151+I1152</f>
        <v>-11916090000</v>
      </c>
      <c r="J1153" s="1138">
        <f>J1150+J1151+J1152</f>
        <v>-7773193000</v>
      </c>
      <c r="K1153" s="1138">
        <v>-4795786000</v>
      </c>
      <c r="L1153" s="1139"/>
      <c r="M1153" s="1139"/>
      <c r="N1153" s="1139"/>
      <c r="O1153" s="1139"/>
      <c r="P1153" s="1139"/>
      <c r="Q1153" s="1139"/>
      <c r="R1153" s="1110"/>
      <c r="S1153" s="1140"/>
      <c r="T1153" s="1140"/>
      <c r="U1153" s="1140"/>
      <c r="V1153" s="1140"/>
      <c r="W1153" s="1140"/>
      <c r="X1153" s="1140"/>
      <c r="Y1153" s="1140"/>
      <c r="Z1153" s="1140"/>
      <c r="AA1153" s="1140"/>
      <c r="AB1153" s="1140"/>
      <c r="AC1153" s="1140"/>
      <c r="AD1153" s="1140"/>
      <c r="AE1153" s="1140"/>
      <c r="AF1153" s="1140"/>
      <c r="AG1153" s="1140"/>
      <c r="AH1153" s="1140"/>
      <c r="AI1153" s="1140"/>
      <c r="AJ1153" s="1140"/>
      <c r="AK1153" s="1140"/>
      <c r="AL1153" s="1140"/>
      <c r="AM1153" s="1140"/>
      <c r="AN1153" s="1140"/>
      <c r="AO1153" s="1140"/>
      <c r="AP1153" s="1140"/>
      <c r="AQ1153" s="1140"/>
      <c r="AR1153" s="1140"/>
      <c r="AS1153" s="1140"/>
      <c r="AT1153" s="1140"/>
      <c r="AU1153" s="1140"/>
      <c r="AV1153" s="1140"/>
      <c r="AW1153" s="1140"/>
      <c r="AX1153" s="1140"/>
      <c r="AY1153" s="1140"/>
      <c r="AZ1153" s="1140"/>
      <c r="BA1153" s="1140"/>
      <c r="BB1153" s="1140"/>
      <c r="BC1153" s="1140"/>
      <c r="BD1153" s="1140"/>
      <c r="BE1153" s="1140"/>
      <c r="BF1153" s="1140"/>
      <c r="BG1153" s="1140"/>
      <c r="BH1153" s="1140"/>
      <c r="BI1153" s="1140"/>
      <c r="BJ1153" s="1140"/>
      <c r="BK1153" s="1140"/>
      <c r="BL1153" s="1140"/>
      <c r="BM1153" s="1140"/>
      <c r="BN1153" s="1140"/>
      <c r="BO1153" s="1140"/>
      <c r="BP1153" s="1140"/>
      <c r="BQ1153" s="1140"/>
      <c r="BR1153" s="1140"/>
      <c r="BS1153" s="1140"/>
      <c r="BT1153" s="1140"/>
    </row>
    <row r="1154" spans="1:72" s="1145" customFormat="1" ht="16.350000000000001" customHeight="1" outlineLevel="2">
      <c r="A1154" s="1105"/>
      <c r="B1154" s="1142"/>
      <c r="C1154" s="1130"/>
      <c r="D1154" s="1130"/>
      <c r="E1154" s="1130"/>
      <c r="F1154" s="1130"/>
      <c r="G1154" s="1130"/>
      <c r="H1154" s="1130"/>
      <c r="I1154" s="1130"/>
      <c r="J1154" s="1130"/>
      <c r="K1154" s="1130"/>
      <c r="L1154" s="1143"/>
      <c r="M1154" s="1143"/>
      <c r="N1154" s="1143"/>
      <c r="O1154" s="1143"/>
      <c r="P1154" s="1143"/>
      <c r="Q1154" s="1143"/>
      <c r="R1154" s="1110"/>
      <c r="S1154" s="1144"/>
      <c r="T1154" s="1144"/>
      <c r="U1154" s="1144"/>
      <c r="V1154" s="1144"/>
      <c r="W1154" s="1144"/>
      <c r="X1154" s="1144"/>
      <c r="Y1154" s="1144"/>
      <c r="Z1154" s="1144"/>
      <c r="AA1154" s="1144"/>
      <c r="AB1154" s="1144"/>
      <c r="AC1154" s="1144"/>
      <c r="AD1154" s="1144"/>
      <c r="AE1154" s="1144"/>
      <c r="AF1154" s="1144"/>
      <c r="AG1154" s="1144"/>
      <c r="AH1154" s="1144"/>
      <c r="AI1154" s="1144"/>
      <c r="AJ1154" s="1144"/>
      <c r="AK1154" s="1144"/>
      <c r="AL1154" s="1144"/>
      <c r="AM1154" s="1144"/>
      <c r="AN1154" s="1144"/>
      <c r="AO1154" s="1144"/>
      <c r="AP1154" s="1144"/>
      <c r="AQ1154" s="1144"/>
      <c r="AR1154" s="1144"/>
      <c r="AS1154" s="1144"/>
      <c r="AT1154" s="1144"/>
      <c r="AU1154" s="1144"/>
      <c r="AV1154" s="1144"/>
      <c r="AW1154" s="1144"/>
      <c r="AX1154" s="1144"/>
      <c r="AY1154" s="1144"/>
      <c r="AZ1154" s="1144"/>
      <c r="BA1154" s="1144"/>
      <c r="BB1154" s="1144"/>
      <c r="BC1154" s="1144"/>
      <c r="BD1154" s="1144"/>
      <c r="BE1154" s="1144"/>
      <c r="BF1154" s="1144"/>
      <c r="BG1154" s="1144"/>
      <c r="BH1154" s="1144"/>
      <c r="BI1154" s="1144"/>
      <c r="BJ1154" s="1144"/>
      <c r="BK1154" s="1144"/>
      <c r="BL1154" s="1144"/>
      <c r="BM1154" s="1144"/>
      <c r="BN1154" s="1144"/>
      <c r="BO1154" s="1144"/>
      <c r="BP1154" s="1144"/>
      <c r="BQ1154" s="1144"/>
      <c r="BR1154" s="1144"/>
      <c r="BS1154" s="1144"/>
      <c r="BT1154" s="1144"/>
    </row>
    <row r="1155" spans="1:72" s="1145" customFormat="1" ht="16.350000000000001" customHeight="1" outlineLevel="2">
      <c r="A1155" s="1105"/>
      <c r="B1155" s="1142" t="s">
        <v>845</v>
      </c>
      <c r="C1155" s="1130"/>
      <c r="D1155" s="1130">
        <v>226884820000</v>
      </c>
      <c r="E1155" s="1130">
        <v>201554710000</v>
      </c>
      <c r="F1155" s="1130">
        <v>180216957000</v>
      </c>
      <c r="G1155" s="1130">
        <f>G1142+G1150</f>
        <v>146407273000</v>
      </c>
      <c r="H1155" s="1130">
        <f>H1142+H1150</f>
        <v>117429597000</v>
      </c>
      <c r="I1155" s="1130">
        <f>I1142+I1150</f>
        <v>92893981000</v>
      </c>
      <c r="J1155" s="1130">
        <f>J1142+J1150</f>
        <v>66092854000</v>
      </c>
      <c r="K1155" s="1130">
        <f>K1142+K1150</f>
        <v>43374788000</v>
      </c>
      <c r="L1155" s="1143"/>
      <c r="M1155" s="1143"/>
      <c r="N1155" s="1143"/>
      <c r="O1155" s="1143"/>
      <c r="P1155" s="1143"/>
      <c r="Q1155" s="1143"/>
      <c r="R1155" s="1110"/>
      <c r="S1155" s="1144"/>
      <c r="T1155" s="1144"/>
      <c r="U1155" s="1144"/>
      <c r="V1155" s="1144"/>
      <c r="W1155" s="1144"/>
      <c r="X1155" s="1144"/>
      <c r="Y1155" s="1144"/>
      <c r="Z1155" s="1144"/>
      <c r="AA1155" s="1144"/>
      <c r="AB1155" s="1144"/>
      <c r="AC1155" s="1144"/>
      <c r="AD1155" s="1144"/>
      <c r="AE1155" s="1144"/>
      <c r="AF1155" s="1144"/>
      <c r="AG1155" s="1144"/>
      <c r="AH1155" s="1144"/>
      <c r="AI1155" s="1144"/>
      <c r="AJ1155" s="1144"/>
      <c r="AK1155" s="1144"/>
      <c r="AL1155" s="1144"/>
      <c r="AM1155" s="1144"/>
      <c r="AN1155" s="1144"/>
      <c r="AO1155" s="1144"/>
      <c r="AP1155" s="1144"/>
      <c r="AQ1155" s="1144"/>
      <c r="AR1155" s="1144"/>
      <c r="AS1155" s="1144"/>
      <c r="AT1155" s="1144"/>
      <c r="AU1155" s="1144"/>
      <c r="AV1155" s="1144"/>
      <c r="AW1155" s="1144"/>
      <c r="AX1155" s="1144"/>
      <c r="AY1155" s="1144"/>
      <c r="AZ1155" s="1144"/>
      <c r="BA1155" s="1144"/>
      <c r="BB1155" s="1144"/>
      <c r="BC1155" s="1144"/>
      <c r="BD1155" s="1144"/>
      <c r="BE1155" s="1144"/>
      <c r="BF1155" s="1144"/>
      <c r="BG1155" s="1144"/>
      <c r="BH1155" s="1144"/>
      <c r="BI1155" s="1144"/>
      <c r="BJ1155" s="1144"/>
      <c r="BK1155" s="1144"/>
      <c r="BL1155" s="1144"/>
      <c r="BM1155" s="1144"/>
      <c r="BN1155" s="1144"/>
      <c r="BO1155" s="1144"/>
      <c r="BP1155" s="1144"/>
      <c r="BQ1155" s="1144"/>
      <c r="BR1155" s="1144"/>
      <c r="BS1155" s="1144"/>
      <c r="BT1155" s="1144"/>
    </row>
    <row r="1156" spans="1:72" s="1145" customFormat="1" ht="16.350000000000001" customHeight="1" outlineLevel="2">
      <c r="A1156" s="1105"/>
      <c r="B1156" s="1146" t="s">
        <v>846</v>
      </c>
      <c r="C1156" s="1130"/>
      <c r="D1156" s="1130">
        <f>D1157-D1155</f>
        <v>20132410000</v>
      </c>
      <c r="E1156" s="1130">
        <f>E1157-E1155</f>
        <v>25330110000</v>
      </c>
      <c r="F1156" s="1130">
        <f t="shared" ref="F1156:K1156" si="153">F1157-F1155</f>
        <v>21337753000</v>
      </c>
      <c r="G1156" s="1130">
        <f t="shared" si="153"/>
        <v>33809684000</v>
      </c>
      <c r="H1156" s="1130">
        <f t="shared" si="153"/>
        <v>28977676000</v>
      </c>
      <c r="I1156" s="1130">
        <f t="shared" si="153"/>
        <v>24535616000</v>
      </c>
      <c r="J1156" s="1130">
        <f t="shared" si="153"/>
        <v>26801127000</v>
      </c>
      <c r="K1156" s="1130">
        <f t="shared" si="153"/>
        <v>22718066000</v>
      </c>
      <c r="L1156" s="1143"/>
      <c r="M1156" s="1143"/>
      <c r="N1156" s="1143"/>
      <c r="O1156" s="1143"/>
      <c r="P1156" s="1143"/>
      <c r="Q1156" s="1143"/>
      <c r="R1156" s="1110"/>
      <c r="S1156" s="1144"/>
      <c r="T1156" s="1144"/>
      <c r="U1156" s="1144"/>
      <c r="V1156" s="1144"/>
      <c r="W1156" s="1144"/>
      <c r="X1156" s="1144"/>
      <c r="Y1156" s="1144"/>
      <c r="Z1156" s="1144"/>
      <c r="AA1156" s="1144"/>
      <c r="AB1156" s="1144"/>
      <c r="AC1156" s="1144"/>
      <c r="AD1156" s="1144"/>
      <c r="AE1156" s="1144"/>
      <c r="AF1156" s="1144"/>
      <c r="AG1156" s="1144"/>
      <c r="AH1156" s="1144"/>
      <c r="AI1156" s="1144"/>
      <c r="AJ1156" s="1144"/>
      <c r="AK1156" s="1144"/>
      <c r="AL1156" s="1144"/>
      <c r="AM1156" s="1144"/>
      <c r="AN1156" s="1144"/>
      <c r="AO1156" s="1144"/>
      <c r="AP1156" s="1144"/>
      <c r="AQ1156" s="1144"/>
      <c r="AR1156" s="1144"/>
      <c r="AS1156" s="1144"/>
      <c r="AT1156" s="1144"/>
      <c r="AU1156" s="1144"/>
      <c r="AV1156" s="1144"/>
      <c r="AW1156" s="1144"/>
      <c r="AX1156" s="1144"/>
      <c r="AY1156" s="1144"/>
      <c r="AZ1156" s="1144"/>
      <c r="BA1156" s="1144"/>
      <c r="BB1156" s="1144"/>
      <c r="BC1156" s="1144"/>
      <c r="BD1156" s="1144"/>
      <c r="BE1156" s="1144"/>
      <c r="BF1156" s="1144"/>
      <c r="BG1156" s="1144"/>
      <c r="BH1156" s="1144"/>
      <c r="BI1156" s="1144"/>
      <c r="BJ1156" s="1144"/>
      <c r="BK1156" s="1144"/>
      <c r="BL1156" s="1144"/>
      <c r="BM1156" s="1144"/>
      <c r="BN1156" s="1144"/>
      <c r="BO1156" s="1144"/>
      <c r="BP1156" s="1144"/>
      <c r="BQ1156" s="1144"/>
      <c r="BR1156" s="1144"/>
      <c r="BS1156" s="1144"/>
      <c r="BT1156" s="1144"/>
    </row>
    <row r="1157" spans="1:72" s="1141" customFormat="1" ht="16.350000000000001" customHeight="1" outlineLevel="2">
      <c r="A1157" s="1105"/>
      <c r="B1157" s="1137" t="s">
        <v>847</v>
      </c>
      <c r="C1157" s="1138"/>
      <c r="D1157" s="1138">
        <v>247017230000</v>
      </c>
      <c r="E1157" s="1138">
        <v>226884820000</v>
      </c>
      <c r="F1157" s="1138">
        <v>201554710000</v>
      </c>
      <c r="G1157" s="1138">
        <f>G1148+G1153</f>
        <v>180216957000</v>
      </c>
      <c r="H1157" s="1138">
        <f>H1148+H1153</f>
        <v>146407273000</v>
      </c>
      <c r="I1157" s="1138">
        <f>I1148+I1153</f>
        <v>117429597000</v>
      </c>
      <c r="J1157" s="1138">
        <f>J1148+J1153</f>
        <v>92893981000</v>
      </c>
      <c r="K1157" s="1138">
        <f>K1148+K1153</f>
        <v>66092854000</v>
      </c>
      <c r="L1157" s="1139"/>
      <c r="M1157" s="1139"/>
      <c r="N1157" s="1139"/>
      <c r="O1157" s="1139"/>
      <c r="P1157" s="1139"/>
      <c r="Q1157" s="1139"/>
      <c r="R1157" s="1110"/>
      <c r="S1157" s="1140"/>
      <c r="T1157" s="1140"/>
      <c r="U1157" s="1140"/>
      <c r="V1157" s="1140"/>
      <c r="W1157" s="1140"/>
      <c r="X1157" s="1140"/>
      <c r="Y1157" s="1140"/>
      <c r="Z1157" s="1140"/>
      <c r="AA1157" s="1140"/>
      <c r="AB1157" s="1140"/>
      <c r="AC1157" s="1140"/>
      <c r="AD1157" s="1140"/>
      <c r="AE1157" s="1140"/>
      <c r="AF1157" s="1140"/>
      <c r="AG1157" s="1140"/>
      <c r="AH1157" s="1140"/>
      <c r="AI1157" s="1140"/>
      <c r="AJ1157" s="1140"/>
      <c r="AK1157" s="1140"/>
      <c r="AL1157" s="1140"/>
      <c r="AM1157" s="1140"/>
      <c r="AN1157" s="1140"/>
      <c r="AO1157" s="1140"/>
      <c r="AP1157" s="1140"/>
      <c r="AQ1157" s="1140"/>
      <c r="AR1157" s="1140"/>
      <c r="AS1157" s="1140"/>
      <c r="AT1157" s="1140"/>
      <c r="AU1157" s="1140"/>
      <c r="AV1157" s="1140"/>
      <c r="AW1157" s="1140"/>
      <c r="AX1157" s="1140"/>
      <c r="AY1157" s="1140"/>
      <c r="AZ1157" s="1140"/>
      <c r="BA1157" s="1140"/>
      <c r="BB1157" s="1140"/>
      <c r="BC1157" s="1140"/>
      <c r="BD1157" s="1140"/>
      <c r="BE1157" s="1140"/>
      <c r="BF1157" s="1140"/>
      <c r="BG1157" s="1140"/>
      <c r="BH1157" s="1140"/>
      <c r="BI1157" s="1140"/>
      <c r="BJ1157" s="1140"/>
      <c r="BK1157" s="1140"/>
      <c r="BL1157" s="1140"/>
      <c r="BM1157" s="1140"/>
      <c r="BN1157" s="1140"/>
      <c r="BO1157" s="1140"/>
      <c r="BP1157" s="1140"/>
      <c r="BQ1157" s="1140"/>
      <c r="BR1157" s="1140"/>
      <c r="BS1157" s="1140"/>
      <c r="BT1157" s="1140"/>
    </row>
    <row r="1158" spans="1:72" s="1152" customFormat="1" ht="16.350000000000001" customHeight="1" outlineLevel="2">
      <c r="A1158" s="1105"/>
      <c r="B1158" s="1147"/>
      <c r="C1158" s="1148"/>
      <c r="D1158" s="1148"/>
      <c r="E1158" s="1148"/>
      <c r="F1158" s="1148"/>
      <c r="G1158" s="1148"/>
      <c r="H1158" s="1149"/>
      <c r="I1158" s="1149"/>
      <c r="J1158" s="1149"/>
      <c r="K1158" s="1149"/>
      <c r="L1158" s="1150"/>
      <c r="M1158" s="1150"/>
      <c r="N1158" s="1150"/>
      <c r="O1158" s="1150"/>
      <c r="P1158" s="1151"/>
      <c r="Q1158" s="1151"/>
      <c r="R1158" s="1110"/>
    </row>
    <row r="1159" spans="1:72" s="1125" customFormat="1" ht="16.350000000000001" customHeight="1" outlineLevel="1">
      <c r="A1159" s="1105"/>
      <c r="B1159" s="1126" t="s">
        <v>848</v>
      </c>
      <c r="C1159" s="1122"/>
      <c r="D1159" s="1122">
        <v>42898485000</v>
      </c>
      <c r="E1159" s="1122">
        <v>43902809000</v>
      </c>
      <c r="F1159" s="1122">
        <v>37937466000</v>
      </c>
      <c r="G1159" s="1122">
        <f>G1176</f>
        <v>34366829000</v>
      </c>
      <c r="H1159" s="1127">
        <f>H1176</f>
        <v>29248906000</v>
      </c>
      <c r="I1159" s="1127">
        <f>I1176</f>
        <v>26766456000</v>
      </c>
      <c r="J1159" s="1127">
        <f>J1176</f>
        <v>22296464000</v>
      </c>
      <c r="K1159" s="1127">
        <f>K1176</f>
        <v>17826166000</v>
      </c>
      <c r="L1159" s="1128"/>
      <c r="M1159" s="1128"/>
      <c r="N1159" s="1128"/>
      <c r="O1159" s="1128"/>
      <c r="P1159" s="1128"/>
      <c r="Q1159" s="1128"/>
      <c r="R1159" s="1110"/>
      <c r="S1159" s="1124"/>
      <c r="T1159" s="1124"/>
      <c r="U1159" s="1124"/>
      <c r="V1159" s="1124"/>
      <c r="W1159" s="1124"/>
      <c r="X1159" s="1124"/>
      <c r="Y1159" s="1124"/>
      <c r="Z1159" s="1124"/>
      <c r="AA1159" s="1124"/>
      <c r="AB1159" s="1124"/>
      <c r="AC1159" s="1124"/>
      <c r="AD1159" s="1124"/>
      <c r="AE1159" s="1124"/>
      <c r="AF1159" s="1124"/>
      <c r="AG1159" s="1124"/>
      <c r="AH1159" s="1124"/>
      <c r="AI1159" s="1124"/>
      <c r="AJ1159" s="1124"/>
      <c r="AK1159" s="1124"/>
      <c r="AL1159" s="1124"/>
      <c r="AM1159" s="1124"/>
      <c r="AN1159" s="1124"/>
      <c r="AO1159" s="1124"/>
      <c r="AP1159" s="1124"/>
      <c r="AQ1159" s="1124"/>
      <c r="AR1159" s="1124"/>
      <c r="AS1159" s="1124"/>
      <c r="AT1159" s="1124"/>
      <c r="AU1159" s="1124"/>
      <c r="AV1159" s="1124"/>
      <c r="AW1159" s="1124"/>
      <c r="AX1159" s="1124"/>
      <c r="AY1159" s="1124"/>
      <c r="AZ1159" s="1124"/>
      <c r="BA1159" s="1124"/>
      <c r="BB1159" s="1124"/>
      <c r="BC1159" s="1124"/>
      <c r="BD1159" s="1124"/>
      <c r="BE1159" s="1124"/>
      <c r="BF1159" s="1124"/>
      <c r="BG1159" s="1124"/>
      <c r="BH1159" s="1124"/>
      <c r="BI1159" s="1124"/>
      <c r="BJ1159" s="1124"/>
      <c r="BK1159" s="1124"/>
      <c r="BL1159" s="1124"/>
      <c r="BM1159" s="1124"/>
      <c r="BN1159" s="1124"/>
      <c r="BO1159" s="1124"/>
      <c r="BP1159" s="1124"/>
      <c r="BQ1159" s="1124"/>
      <c r="BR1159" s="1124"/>
      <c r="BS1159" s="1124"/>
      <c r="BT1159" s="1124"/>
    </row>
    <row r="1160" spans="1:72" s="1125" customFormat="1" ht="16.350000000000001" customHeight="1" outlineLevel="2">
      <c r="A1160" s="1105"/>
      <c r="B1160" s="1126"/>
      <c r="C1160" s="1122"/>
      <c r="D1160" s="1122"/>
      <c r="E1160" s="1122"/>
      <c r="F1160" s="1122"/>
      <c r="G1160" s="1122"/>
      <c r="H1160" s="1127"/>
      <c r="I1160" s="1127"/>
      <c r="J1160" s="1127"/>
      <c r="K1160" s="1127"/>
      <c r="L1160" s="1128"/>
      <c r="M1160" s="1128"/>
      <c r="N1160" s="1128"/>
      <c r="O1160" s="1128"/>
      <c r="P1160" s="1128"/>
      <c r="Q1160" s="1128"/>
      <c r="R1160" s="1110"/>
      <c r="S1160" s="1124"/>
      <c r="T1160" s="1124"/>
      <c r="U1160" s="1124"/>
      <c r="V1160" s="1124"/>
      <c r="W1160" s="1124"/>
      <c r="X1160" s="1124"/>
      <c r="Y1160" s="1124"/>
      <c r="Z1160" s="1124"/>
      <c r="AA1160" s="1124"/>
      <c r="AB1160" s="1124"/>
      <c r="AC1160" s="1124"/>
      <c r="AD1160" s="1124"/>
      <c r="AE1160" s="1124"/>
      <c r="AF1160" s="1124"/>
      <c r="AG1160" s="1124"/>
      <c r="AH1160" s="1124"/>
      <c r="AI1160" s="1124"/>
      <c r="AJ1160" s="1124"/>
      <c r="AK1160" s="1124"/>
      <c r="AL1160" s="1124"/>
      <c r="AM1160" s="1124"/>
      <c r="AN1160" s="1124"/>
      <c r="AO1160" s="1124"/>
      <c r="AP1160" s="1124"/>
      <c r="AQ1160" s="1124"/>
      <c r="AR1160" s="1124"/>
      <c r="AS1160" s="1124"/>
      <c r="AT1160" s="1124"/>
      <c r="AU1160" s="1124"/>
      <c r="AV1160" s="1124"/>
      <c r="AW1160" s="1124"/>
      <c r="AX1160" s="1124"/>
      <c r="AY1160" s="1124"/>
      <c r="AZ1160" s="1124"/>
      <c r="BA1160" s="1124"/>
      <c r="BB1160" s="1124"/>
      <c r="BC1160" s="1124"/>
      <c r="BD1160" s="1124"/>
      <c r="BE1160" s="1124"/>
      <c r="BF1160" s="1124"/>
      <c r="BG1160" s="1124"/>
      <c r="BH1160" s="1124"/>
      <c r="BI1160" s="1124"/>
      <c r="BJ1160" s="1124"/>
      <c r="BK1160" s="1124"/>
      <c r="BL1160" s="1124"/>
      <c r="BM1160" s="1124"/>
      <c r="BN1160" s="1124"/>
      <c r="BO1160" s="1124"/>
      <c r="BP1160" s="1124"/>
      <c r="BQ1160" s="1124"/>
      <c r="BR1160" s="1124"/>
      <c r="BS1160" s="1124"/>
      <c r="BT1160" s="1124"/>
    </row>
    <row r="1161" spans="1:72" s="1145" customFormat="1" ht="16.350000000000001" customHeight="1" outlineLevel="2">
      <c r="A1161" s="1105"/>
      <c r="B1161" s="1142" t="s">
        <v>838</v>
      </c>
      <c r="C1161" s="1130"/>
      <c r="D1161" s="1130">
        <v>104253052000</v>
      </c>
      <c r="E1161" s="1130">
        <v>88734450000</v>
      </c>
      <c r="F1161" s="1130">
        <v>74018730000</v>
      </c>
      <c r="G1161" s="1130">
        <f>H1167</f>
        <v>58987423000</v>
      </c>
      <c r="H1161" s="1130">
        <f>I1167</f>
        <v>48464059000</v>
      </c>
      <c r="I1161" s="1130">
        <f>J1167</f>
        <v>37851451000</v>
      </c>
      <c r="J1161" s="1130">
        <f>K1167</f>
        <v>28607741000</v>
      </c>
      <c r="K1161" s="1130">
        <v>17956879000</v>
      </c>
      <c r="L1161" s="1143"/>
      <c r="M1161" s="1143"/>
      <c r="N1161" s="1143"/>
      <c r="O1161" s="1143"/>
      <c r="P1161" s="1143"/>
      <c r="Q1161" s="1143"/>
      <c r="R1161" s="1110"/>
      <c r="S1161" s="1144"/>
      <c r="T1161" s="1144"/>
      <c r="U1161" s="1144"/>
      <c r="V1161" s="1144"/>
      <c r="W1161" s="1144"/>
      <c r="X1161" s="1144"/>
      <c r="Y1161" s="1144"/>
      <c r="Z1161" s="1144"/>
      <c r="AA1161" s="1144"/>
      <c r="AB1161" s="1144"/>
      <c r="AC1161" s="1144"/>
      <c r="AD1161" s="1144"/>
      <c r="AE1161" s="1144"/>
      <c r="AF1161" s="1144"/>
      <c r="AG1161" s="1144"/>
      <c r="AH1161" s="1144"/>
      <c r="AI1161" s="1144"/>
      <c r="AJ1161" s="1144"/>
      <c r="AK1161" s="1144"/>
      <c r="AL1161" s="1144"/>
      <c r="AM1161" s="1144"/>
      <c r="AN1161" s="1144"/>
      <c r="AO1161" s="1144"/>
      <c r="AP1161" s="1144"/>
      <c r="AQ1161" s="1144"/>
      <c r="AR1161" s="1144"/>
      <c r="AS1161" s="1144"/>
      <c r="AT1161" s="1144"/>
      <c r="AU1161" s="1144"/>
      <c r="AV1161" s="1144"/>
      <c r="AW1161" s="1144"/>
      <c r="AX1161" s="1144"/>
      <c r="AY1161" s="1144"/>
      <c r="AZ1161" s="1144"/>
      <c r="BA1161" s="1144"/>
      <c r="BB1161" s="1144"/>
      <c r="BC1161" s="1144"/>
      <c r="BD1161" s="1144"/>
      <c r="BE1161" s="1144"/>
      <c r="BF1161" s="1144"/>
      <c r="BG1161" s="1144"/>
      <c r="BH1161" s="1144"/>
      <c r="BI1161" s="1144"/>
      <c r="BJ1161" s="1144"/>
      <c r="BK1161" s="1144"/>
      <c r="BL1161" s="1144"/>
      <c r="BM1161" s="1144"/>
      <c r="BN1161" s="1144"/>
      <c r="BO1161" s="1144"/>
      <c r="BP1161" s="1144"/>
      <c r="BQ1161" s="1144"/>
      <c r="BR1161" s="1144"/>
      <c r="BS1161" s="1144"/>
      <c r="BT1161" s="1144"/>
    </row>
    <row r="1162" spans="1:72" s="1145" customFormat="1" ht="16.350000000000001" customHeight="1" outlineLevel="2">
      <c r="A1162" s="1105"/>
      <c r="B1162" s="1133" t="s">
        <v>839</v>
      </c>
      <c r="C1162" s="1130"/>
      <c r="D1162" s="1130">
        <v>57199000</v>
      </c>
      <c r="E1162" s="1130"/>
      <c r="F1162" s="1130"/>
      <c r="G1162" s="1130"/>
      <c r="H1162" s="1130"/>
      <c r="I1162" s="1130"/>
      <c r="J1162" s="1130"/>
      <c r="K1162" s="1130"/>
      <c r="L1162" s="1143"/>
      <c r="M1162" s="1143"/>
      <c r="N1162" s="1143"/>
      <c r="O1162" s="1143"/>
      <c r="P1162" s="1143"/>
      <c r="Q1162" s="1143"/>
      <c r="R1162" s="1110"/>
      <c r="S1162" s="1144"/>
      <c r="T1162" s="1144"/>
      <c r="U1162" s="1144"/>
      <c r="V1162" s="1144"/>
      <c r="W1162" s="1144"/>
      <c r="X1162" s="1144"/>
      <c r="Y1162" s="1144"/>
      <c r="Z1162" s="1144"/>
      <c r="AA1162" s="1144"/>
      <c r="AB1162" s="1144"/>
      <c r="AC1162" s="1144"/>
      <c r="AD1162" s="1144"/>
      <c r="AE1162" s="1144"/>
      <c r="AF1162" s="1144"/>
      <c r="AG1162" s="1144"/>
      <c r="AH1162" s="1144"/>
      <c r="AI1162" s="1144"/>
      <c r="AJ1162" s="1144"/>
      <c r="AK1162" s="1144"/>
      <c r="AL1162" s="1144"/>
      <c r="AM1162" s="1144"/>
      <c r="AN1162" s="1144"/>
      <c r="AO1162" s="1144"/>
      <c r="AP1162" s="1144"/>
      <c r="AQ1162" s="1144"/>
      <c r="AR1162" s="1144"/>
      <c r="AS1162" s="1144"/>
      <c r="AT1162" s="1144"/>
      <c r="AU1162" s="1144"/>
      <c r="AV1162" s="1144"/>
      <c r="AW1162" s="1144"/>
      <c r="AX1162" s="1144"/>
      <c r="AY1162" s="1144"/>
      <c r="AZ1162" s="1144"/>
      <c r="BA1162" s="1144"/>
      <c r="BB1162" s="1144"/>
      <c r="BC1162" s="1144"/>
      <c r="BD1162" s="1144"/>
      <c r="BE1162" s="1144"/>
      <c r="BF1162" s="1144"/>
      <c r="BG1162" s="1144"/>
      <c r="BH1162" s="1144"/>
      <c r="BI1162" s="1144"/>
      <c r="BJ1162" s="1144"/>
      <c r="BK1162" s="1144"/>
      <c r="BL1162" s="1144"/>
      <c r="BM1162" s="1144"/>
      <c r="BN1162" s="1144"/>
      <c r="BO1162" s="1144"/>
      <c r="BP1162" s="1144"/>
      <c r="BQ1162" s="1144"/>
      <c r="BR1162" s="1144"/>
      <c r="BS1162" s="1144"/>
      <c r="BT1162" s="1144"/>
    </row>
    <row r="1163" spans="1:72" s="450" customFormat="1" ht="16.350000000000001" customHeight="1" outlineLevel="2">
      <c r="A1163" s="1105"/>
      <c r="B1163" s="1133" t="s">
        <v>53</v>
      </c>
      <c r="C1163" s="1130"/>
      <c r="D1163" s="1130">
        <v>14693139000</v>
      </c>
      <c r="E1163" s="1130">
        <v>20355439000</v>
      </c>
      <c r="F1163" s="1130">
        <v>16325769000</v>
      </c>
      <c r="G1163" s="1130">
        <v>15749811000</v>
      </c>
      <c r="H1163" s="1130">
        <v>11552940000</v>
      </c>
      <c r="I1163" s="1130">
        <v>11537792000</v>
      </c>
      <c r="J1163" s="1130">
        <v>10097692000</v>
      </c>
      <c r="K1163" s="1130">
        <v>11168113000</v>
      </c>
      <c r="L1163" s="1134"/>
      <c r="M1163" s="1134"/>
      <c r="N1163" s="1134"/>
      <c r="O1163" s="1134"/>
      <c r="P1163" s="1134"/>
      <c r="Q1163" s="1134"/>
      <c r="R1163" s="1110"/>
      <c r="S1163" s="1135"/>
      <c r="T1163" s="1135"/>
      <c r="U1163" s="1135"/>
      <c r="V1163" s="1135"/>
      <c r="W1163" s="1135"/>
      <c r="X1163" s="1135"/>
      <c r="Y1163" s="1135"/>
      <c r="Z1163" s="1135"/>
      <c r="AA1163" s="1135"/>
      <c r="AB1163" s="1135"/>
      <c r="AC1163" s="1135"/>
      <c r="AD1163" s="1135"/>
      <c r="AE1163" s="1135"/>
      <c r="AF1163" s="1135"/>
      <c r="AG1163" s="1135"/>
      <c r="AH1163" s="1135"/>
      <c r="AI1163" s="1135"/>
      <c r="AJ1163" s="1135"/>
      <c r="AK1163" s="1135"/>
      <c r="AL1163" s="1135"/>
      <c r="AM1163" s="1135"/>
      <c r="AN1163" s="1135"/>
      <c r="AO1163" s="1135"/>
      <c r="AP1163" s="1135"/>
      <c r="AQ1163" s="1135"/>
      <c r="AR1163" s="1135"/>
      <c r="AS1163" s="1135"/>
      <c r="AT1163" s="1135"/>
      <c r="AU1163" s="1135"/>
      <c r="AV1163" s="1135"/>
      <c r="AW1163" s="1135"/>
      <c r="AX1163" s="1135"/>
      <c r="AY1163" s="1135"/>
      <c r="AZ1163" s="1135"/>
      <c r="BA1163" s="1135"/>
      <c r="BB1163" s="1135"/>
      <c r="BC1163" s="1135"/>
      <c r="BD1163" s="1135"/>
      <c r="BE1163" s="1135"/>
      <c r="BF1163" s="1135"/>
      <c r="BG1163" s="1135"/>
      <c r="BH1163" s="1135"/>
      <c r="BI1163" s="1135"/>
      <c r="BJ1163" s="1135"/>
      <c r="BK1163" s="1135"/>
      <c r="BL1163" s="1135"/>
      <c r="BM1163" s="1135"/>
      <c r="BN1163" s="1135"/>
      <c r="BO1163" s="1135"/>
      <c r="BP1163" s="1135"/>
      <c r="BQ1163" s="1135"/>
      <c r="BR1163" s="1135"/>
      <c r="BS1163" s="1135"/>
      <c r="BT1163" s="1135"/>
    </row>
    <row r="1164" spans="1:72" s="450" customFormat="1" ht="16.350000000000001" customHeight="1" outlineLevel="2">
      <c r="A1164" s="1105"/>
      <c r="B1164" s="1133" t="s">
        <v>840</v>
      </c>
      <c r="C1164" s="1130"/>
      <c r="D1164" s="1130"/>
      <c r="E1164" s="1130"/>
      <c r="F1164" s="1130">
        <v>0</v>
      </c>
      <c r="G1164" s="1130">
        <v>0</v>
      </c>
      <c r="H1164" s="1130">
        <v>0</v>
      </c>
      <c r="I1164" s="1130">
        <v>321964000</v>
      </c>
      <c r="J1164" s="1130">
        <v>0</v>
      </c>
      <c r="K1164" s="1130">
        <v>0</v>
      </c>
      <c r="L1164" s="1134"/>
      <c r="M1164" s="1134"/>
      <c r="N1164" s="1134"/>
      <c r="O1164" s="1134"/>
      <c r="P1164" s="1134"/>
      <c r="Q1164" s="1134"/>
      <c r="R1164" s="1110"/>
      <c r="S1164" s="1135"/>
      <c r="T1164" s="1135"/>
      <c r="U1164" s="1135"/>
      <c r="V1164" s="1135"/>
      <c r="W1164" s="1135"/>
      <c r="X1164" s="1135"/>
      <c r="Y1164" s="1135"/>
      <c r="Z1164" s="1135"/>
      <c r="AA1164" s="1135"/>
      <c r="AB1164" s="1135"/>
      <c r="AC1164" s="1135"/>
      <c r="AD1164" s="1135"/>
      <c r="AE1164" s="1135"/>
      <c r="AF1164" s="1135"/>
      <c r="AG1164" s="1135"/>
      <c r="AH1164" s="1135"/>
      <c r="AI1164" s="1135"/>
      <c r="AJ1164" s="1135"/>
      <c r="AK1164" s="1135"/>
      <c r="AL1164" s="1135"/>
      <c r="AM1164" s="1135"/>
      <c r="AN1164" s="1135"/>
      <c r="AO1164" s="1135"/>
      <c r="AP1164" s="1135"/>
      <c r="AQ1164" s="1135"/>
      <c r="AR1164" s="1135"/>
      <c r="AS1164" s="1135"/>
      <c r="AT1164" s="1135"/>
      <c r="AU1164" s="1135"/>
      <c r="AV1164" s="1135"/>
      <c r="AW1164" s="1135"/>
      <c r="AX1164" s="1135"/>
      <c r="AY1164" s="1135"/>
      <c r="AZ1164" s="1135"/>
      <c r="BA1164" s="1135"/>
      <c r="BB1164" s="1135"/>
      <c r="BC1164" s="1135"/>
      <c r="BD1164" s="1135"/>
      <c r="BE1164" s="1135"/>
      <c r="BF1164" s="1135"/>
      <c r="BG1164" s="1135"/>
      <c r="BH1164" s="1135"/>
      <c r="BI1164" s="1135"/>
      <c r="BJ1164" s="1135"/>
      <c r="BK1164" s="1135"/>
      <c r="BL1164" s="1135"/>
      <c r="BM1164" s="1135"/>
      <c r="BN1164" s="1135"/>
      <c r="BO1164" s="1135"/>
      <c r="BP1164" s="1135"/>
      <c r="BQ1164" s="1135"/>
      <c r="BR1164" s="1135"/>
      <c r="BS1164" s="1135"/>
      <c r="BT1164" s="1135"/>
    </row>
    <row r="1165" spans="1:72" s="450" customFormat="1" ht="16.350000000000001" customHeight="1" outlineLevel="2">
      <c r="A1165" s="1105"/>
      <c r="B1165" s="1133" t="s">
        <v>93</v>
      </c>
      <c r="C1165" s="1130"/>
      <c r="D1165" s="1130"/>
      <c r="E1165" s="1130">
        <v>0</v>
      </c>
      <c r="F1165" s="1130">
        <v>0</v>
      </c>
      <c r="G1165" s="1130">
        <v>0</v>
      </c>
      <c r="H1165" s="1130">
        <v>0</v>
      </c>
      <c r="I1165" s="1130">
        <v>0</v>
      </c>
      <c r="J1165" s="1130">
        <v>0</v>
      </c>
      <c r="K1165" s="1130">
        <v>0</v>
      </c>
      <c r="L1165" s="1134"/>
      <c r="M1165" s="1134"/>
      <c r="N1165" s="1134"/>
      <c r="O1165" s="1134"/>
      <c r="P1165" s="1134"/>
      <c r="Q1165" s="1134"/>
      <c r="R1165" s="1110"/>
      <c r="S1165" s="1135"/>
      <c r="T1165" s="1135"/>
      <c r="U1165" s="1135"/>
      <c r="V1165" s="1135"/>
      <c r="W1165" s="1135"/>
      <c r="X1165" s="1135"/>
      <c r="Y1165" s="1135"/>
      <c r="Z1165" s="1135"/>
      <c r="AA1165" s="1135"/>
      <c r="AB1165" s="1135"/>
      <c r="AC1165" s="1135"/>
      <c r="AD1165" s="1135"/>
      <c r="AE1165" s="1135"/>
      <c r="AF1165" s="1135"/>
      <c r="AG1165" s="1135"/>
      <c r="AH1165" s="1135"/>
      <c r="AI1165" s="1135"/>
      <c r="AJ1165" s="1135"/>
      <c r="AK1165" s="1135"/>
      <c r="AL1165" s="1135"/>
      <c r="AM1165" s="1135"/>
      <c r="AN1165" s="1135"/>
      <c r="AO1165" s="1135"/>
      <c r="AP1165" s="1135"/>
      <c r="AQ1165" s="1135"/>
      <c r="AR1165" s="1135"/>
      <c r="AS1165" s="1135"/>
      <c r="AT1165" s="1135"/>
      <c r="AU1165" s="1135"/>
      <c r="AV1165" s="1135"/>
      <c r="AW1165" s="1135"/>
      <c r="AX1165" s="1135"/>
      <c r="AY1165" s="1135"/>
      <c r="AZ1165" s="1135"/>
      <c r="BA1165" s="1135"/>
      <c r="BB1165" s="1135"/>
      <c r="BC1165" s="1135"/>
      <c r="BD1165" s="1135"/>
      <c r="BE1165" s="1135"/>
      <c r="BF1165" s="1135"/>
      <c r="BG1165" s="1135"/>
      <c r="BH1165" s="1135"/>
      <c r="BI1165" s="1135"/>
      <c r="BJ1165" s="1135"/>
      <c r="BK1165" s="1135"/>
      <c r="BL1165" s="1135"/>
      <c r="BM1165" s="1135"/>
      <c r="BN1165" s="1135"/>
      <c r="BO1165" s="1135"/>
      <c r="BP1165" s="1135"/>
      <c r="BQ1165" s="1135"/>
      <c r="BR1165" s="1135"/>
      <c r="BS1165" s="1135"/>
      <c r="BT1165" s="1135"/>
    </row>
    <row r="1166" spans="1:72" s="450" customFormat="1" ht="16.350000000000001" customHeight="1" outlineLevel="2">
      <c r="A1166" s="1105"/>
      <c r="B1166" s="1133" t="s">
        <v>54</v>
      </c>
      <c r="C1166" s="1130"/>
      <c r="D1166" s="1130">
        <v>-4901835000</v>
      </c>
      <c r="E1166" s="1130">
        <v>-4836837000</v>
      </c>
      <c r="F1166" s="1130">
        <v>-1610049000</v>
      </c>
      <c r="G1166" s="1130">
        <v>-718504000</v>
      </c>
      <c r="H1166" s="1130">
        <v>-1029576000</v>
      </c>
      <c r="I1166" s="1130">
        <v>-1247148000</v>
      </c>
      <c r="J1166" s="1130">
        <v>-853982000</v>
      </c>
      <c r="K1166" s="1130">
        <v>-517251000</v>
      </c>
      <c r="L1166" s="1134"/>
      <c r="M1166" s="1134"/>
      <c r="N1166" s="1134"/>
      <c r="O1166" s="1134"/>
      <c r="P1166" s="1134"/>
      <c r="Q1166" s="1134"/>
      <c r="R1166" s="1110"/>
      <c r="S1166" s="1135"/>
      <c r="T1166" s="1135"/>
      <c r="U1166" s="1135"/>
      <c r="V1166" s="1135"/>
      <c r="W1166" s="1135"/>
      <c r="X1166" s="1135"/>
      <c r="Y1166" s="1135"/>
      <c r="Z1166" s="1135"/>
      <c r="AA1166" s="1135"/>
      <c r="AB1166" s="1135"/>
      <c r="AC1166" s="1135"/>
      <c r="AD1166" s="1135"/>
      <c r="AE1166" s="1135"/>
      <c r="AF1166" s="1135"/>
      <c r="AG1166" s="1135"/>
      <c r="AH1166" s="1135"/>
      <c r="AI1166" s="1135"/>
      <c r="AJ1166" s="1135"/>
      <c r="AK1166" s="1135"/>
      <c r="AL1166" s="1135"/>
      <c r="AM1166" s="1135"/>
      <c r="AN1166" s="1135"/>
      <c r="AO1166" s="1135"/>
      <c r="AP1166" s="1135"/>
      <c r="AQ1166" s="1135"/>
      <c r="AR1166" s="1135"/>
      <c r="AS1166" s="1135"/>
      <c r="AT1166" s="1135"/>
      <c r="AU1166" s="1135"/>
      <c r="AV1166" s="1135"/>
      <c r="AW1166" s="1135"/>
      <c r="AX1166" s="1135"/>
      <c r="AY1166" s="1135"/>
      <c r="AZ1166" s="1135"/>
      <c r="BA1166" s="1135"/>
      <c r="BB1166" s="1135"/>
      <c r="BC1166" s="1135"/>
      <c r="BD1166" s="1135"/>
      <c r="BE1166" s="1135"/>
      <c r="BF1166" s="1135"/>
      <c r="BG1166" s="1135"/>
      <c r="BH1166" s="1135"/>
      <c r="BI1166" s="1135"/>
      <c r="BJ1166" s="1135"/>
      <c r="BK1166" s="1135"/>
      <c r="BL1166" s="1135"/>
      <c r="BM1166" s="1135"/>
      <c r="BN1166" s="1135"/>
      <c r="BO1166" s="1135"/>
      <c r="BP1166" s="1135"/>
      <c r="BQ1166" s="1135"/>
      <c r="BR1166" s="1135"/>
      <c r="BS1166" s="1135"/>
      <c r="BT1166" s="1135"/>
    </row>
    <row r="1167" spans="1:72" s="1141" customFormat="1" ht="16.350000000000001" customHeight="1" outlineLevel="2">
      <c r="A1167" s="1105"/>
      <c r="B1167" s="1137" t="s">
        <v>842</v>
      </c>
      <c r="C1167" s="1138"/>
      <c r="D1167" s="1138">
        <v>114101555000</v>
      </c>
      <c r="E1167" s="1138">
        <v>104253052000</v>
      </c>
      <c r="F1167" s="1138">
        <v>88734450000</v>
      </c>
      <c r="G1167" s="1138">
        <f>G1161+G1163+G1164+G1165+G1166</f>
        <v>74018730000</v>
      </c>
      <c r="H1167" s="1138">
        <f>H1161+H1163+H1164+H1165+H1166</f>
        <v>58987423000</v>
      </c>
      <c r="I1167" s="1138">
        <f>I1161+I1163+I1164+I1165+I1166</f>
        <v>48464059000</v>
      </c>
      <c r="J1167" s="1138">
        <f>J1161+J1163+J1164+J1165+J1166</f>
        <v>37851451000</v>
      </c>
      <c r="K1167" s="1138">
        <f>K1161+K1163+K1164+K1165+K1166</f>
        <v>28607741000</v>
      </c>
      <c r="L1167" s="1139"/>
      <c r="M1167" s="1139"/>
      <c r="N1167" s="1139"/>
      <c r="O1167" s="1139"/>
      <c r="P1167" s="1139"/>
      <c r="Q1167" s="1139"/>
      <c r="R1167" s="1110"/>
      <c r="S1167" s="1140"/>
      <c r="T1167" s="1140"/>
      <c r="U1167" s="1140"/>
      <c r="V1167" s="1140"/>
      <c r="W1167" s="1140"/>
      <c r="X1167" s="1140"/>
      <c r="Y1167" s="1140"/>
      <c r="Z1167" s="1140"/>
      <c r="AA1167" s="1140"/>
      <c r="AB1167" s="1140"/>
      <c r="AC1167" s="1140"/>
      <c r="AD1167" s="1140"/>
      <c r="AE1167" s="1140"/>
      <c r="AF1167" s="1140"/>
      <c r="AG1167" s="1140"/>
      <c r="AH1167" s="1140"/>
      <c r="AI1167" s="1140"/>
      <c r="AJ1167" s="1140"/>
      <c r="AK1167" s="1140"/>
      <c r="AL1167" s="1140"/>
      <c r="AM1167" s="1140"/>
      <c r="AN1167" s="1140"/>
      <c r="AO1167" s="1140"/>
      <c r="AP1167" s="1140"/>
      <c r="AQ1167" s="1140"/>
      <c r="AR1167" s="1140"/>
      <c r="AS1167" s="1140"/>
      <c r="AT1167" s="1140"/>
      <c r="AU1167" s="1140"/>
      <c r="AV1167" s="1140"/>
      <c r="AW1167" s="1140"/>
      <c r="AX1167" s="1140"/>
      <c r="AY1167" s="1140"/>
      <c r="AZ1167" s="1140"/>
      <c r="BA1167" s="1140"/>
      <c r="BB1167" s="1140"/>
      <c r="BC1167" s="1140"/>
      <c r="BD1167" s="1140"/>
      <c r="BE1167" s="1140"/>
      <c r="BF1167" s="1140"/>
      <c r="BG1167" s="1140"/>
      <c r="BH1167" s="1140"/>
      <c r="BI1167" s="1140"/>
      <c r="BJ1167" s="1140"/>
      <c r="BK1167" s="1140"/>
      <c r="BL1167" s="1140"/>
      <c r="BM1167" s="1140"/>
      <c r="BN1167" s="1140"/>
      <c r="BO1167" s="1140"/>
      <c r="BP1167" s="1140"/>
      <c r="BQ1167" s="1140"/>
      <c r="BR1167" s="1140"/>
      <c r="BS1167" s="1140"/>
      <c r="BT1167" s="1140"/>
    </row>
    <row r="1168" spans="1:72" s="1145" customFormat="1" ht="16.350000000000001" customHeight="1" outlineLevel="2">
      <c r="A1168" s="1105"/>
      <c r="B1168" s="1142"/>
      <c r="C1168" s="1130"/>
      <c r="D1168" s="1130"/>
      <c r="E1168" s="1130"/>
      <c r="F1168" s="1130"/>
      <c r="G1168" s="1130"/>
      <c r="H1168" s="1130"/>
      <c r="I1168" s="1130"/>
      <c r="J1168" s="1130"/>
      <c r="K1168" s="1130"/>
      <c r="L1168" s="1143"/>
      <c r="M1168" s="1143"/>
      <c r="N1168" s="1143"/>
      <c r="O1168" s="1143"/>
      <c r="P1168" s="1143"/>
      <c r="Q1168" s="1143"/>
      <c r="R1168" s="1110"/>
      <c r="S1168" s="1144"/>
      <c r="T1168" s="1144"/>
      <c r="U1168" s="1144"/>
      <c r="V1168" s="1144"/>
      <c r="W1168" s="1144"/>
      <c r="X1168" s="1144"/>
      <c r="Y1168" s="1144"/>
      <c r="Z1168" s="1144"/>
      <c r="AA1168" s="1144"/>
      <c r="AB1168" s="1144"/>
      <c r="AC1168" s="1144"/>
      <c r="AD1168" s="1144"/>
      <c r="AE1168" s="1144"/>
      <c r="AF1168" s="1144"/>
      <c r="AG1168" s="1144"/>
      <c r="AH1168" s="1144"/>
      <c r="AI1168" s="1144"/>
      <c r="AJ1168" s="1144"/>
      <c r="AK1168" s="1144"/>
      <c r="AL1168" s="1144"/>
      <c r="AM1168" s="1144"/>
      <c r="AN1168" s="1144"/>
      <c r="AO1168" s="1144"/>
      <c r="AP1168" s="1144"/>
      <c r="AQ1168" s="1144"/>
      <c r="AR1168" s="1144"/>
      <c r="AS1168" s="1144"/>
      <c r="AT1168" s="1144"/>
      <c r="AU1168" s="1144"/>
      <c r="AV1168" s="1144"/>
      <c r="AW1168" s="1144"/>
      <c r="AX1168" s="1144"/>
      <c r="AY1168" s="1144"/>
      <c r="AZ1168" s="1144"/>
      <c r="BA1168" s="1144"/>
      <c r="BB1168" s="1144"/>
      <c r="BC1168" s="1144"/>
      <c r="BD1168" s="1144"/>
      <c r="BE1168" s="1144"/>
      <c r="BF1168" s="1144"/>
      <c r="BG1168" s="1144"/>
      <c r="BH1168" s="1144"/>
      <c r="BI1168" s="1144"/>
      <c r="BJ1168" s="1144"/>
      <c r="BK1168" s="1144"/>
      <c r="BL1168" s="1144"/>
      <c r="BM1168" s="1144"/>
      <c r="BN1168" s="1144"/>
      <c r="BO1168" s="1144"/>
      <c r="BP1168" s="1144"/>
      <c r="BQ1168" s="1144"/>
      <c r="BR1168" s="1144"/>
      <c r="BS1168" s="1144"/>
      <c r="BT1168" s="1144"/>
    </row>
    <row r="1169" spans="1:72" s="1145" customFormat="1" ht="16.350000000000001" customHeight="1" outlineLevel="2">
      <c r="A1169" s="1105"/>
      <c r="B1169" s="1142" t="s">
        <v>843</v>
      </c>
      <c r="C1169" s="1130"/>
      <c r="D1169" s="1130">
        <v>-60350243000</v>
      </c>
      <c r="E1169" s="1130">
        <v>-50796984000</v>
      </c>
      <c r="F1169" s="1130">
        <v>-39651901000</v>
      </c>
      <c r="G1169" s="1130">
        <f>H1172</f>
        <v>-29738517000</v>
      </c>
      <c r="H1169" s="1130">
        <f>I1172</f>
        <v>-21697603000</v>
      </c>
      <c r="I1169" s="1130">
        <f>J1172</f>
        <v>-15554987000</v>
      </c>
      <c r="J1169" s="1130">
        <f>K1172</f>
        <v>-10781575000</v>
      </c>
      <c r="K1169" s="1130">
        <v>-7282736000</v>
      </c>
      <c r="L1169" s="1143"/>
      <c r="M1169" s="1143"/>
      <c r="N1169" s="1143"/>
      <c r="O1169" s="1143"/>
      <c r="P1169" s="1143"/>
      <c r="Q1169" s="1143"/>
      <c r="R1169" s="1110"/>
      <c r="S1169" s="1144"/>
      <c r="T1169" s="1144"/>
      <c r="U1169" s="1144"/>
      <c r="V1169" s="1144"/>
      <c r="W1169" s="1144"/>
      <c r="X1169" s="1144"/>
      <c r="Y1169" s="1144"/>
      <c r="Z1169" s="1144"/>
      <c r="AA1169" s="1144"/>
      <c r="AB1169" s="1144"/>
      <c r="AC1169" s="1144"/>
      <c r="AD1169" s="1144"/>
      <c r="AE1169" s="1144"/>
      <c r="AF1169" s="1144"/>
      <c r="AG1169" s="1144"/>
      <c r="AH1169" s="1144"/>
      <c r="AI1169" s="1144"/>
      <c r="AJ1169" s="1144"/>
      <c r="AK1169" s="1144"/>
      <c r="AL1169" s="1144"/>
      <c r="AM1169" s="1144"/>
      <c r="AN1169" s="1144"/>
      <c r="AO1169" s="1144"/>
      <c r="AP1169" s="1144"/>
      <c r="AQ1169" s="1144"/>
      <c r="AR1169" s="1144"/>
      <c r="AS1169" s="1144"/>
      <c r="AT1169" s="1144"/>
      <c r="AU1169" s="1144"/>
      <c r="AV1169" s="1144"/>
      <c r="AW1169" s="1144"/>
      <c r="AX1169" s="1144"/>
      <c r="AY1169" s="1144"/>
      <c r="AZ1169" s="1144"/>
      <c r="BA1169" s="1144"/>
      <c r="BB1169" s="1144"/>
      <c r="BC1169" s="1144"/>
      <c r="BD1169" s="1144"/>
      <c r="BE1169" s="1144"/>
      <c r="BF1169" s="1144"/>
      <c r="BG1169" s="1144"/>
      <c r="BH1169" s="1144"/>
      <c r="BI1169" s="1144"/>
      <c r="BJ1169" s="1144"/>
      <c r="BK1169" s="1144"/>
      <c r="BL1169" s="1144"/>
      <c r="BM1169" s="1144"/>
      <c r="BN1169" s="1144"/>
      <c r="BO1169" s="1144"/>
      <c r="BP1169" s="1144"/>
      <c r="BQ1169" s="1144"/>
      <c r="BR1169" s="1144"/>
      <c r="BS1169" s="1144"/>
      <c r="BT1169" s="1144"/>
    </row>
    <row r="1170" spans="1:72" s="450" customFormat="1" ht="16.350000000000001" customHeight="1" outlineLevel="2">
      <c r="A1170" s="1105"/>
      <c r="B1170" s="1133" t="s">
        <v>94</v>
      </c>
      <c r="C1170" s="1130"/>
      <c r="D1170" s="1130">
        <v>-15176110000</v>
      </c>
      <c r="E1170" s="1130">
        <v>-13835432000</v>
      </c>
      <c r="F1170" s="1130">
        <v>-12509966000</v>
      </c>
      <c r="G1170" s="1130">
        <v>-10483890000</v>
      </c>
      <c r="H1170" s="1130">
        <v>-8828161000</v>
      </c>
      <c r="I1170" s="1130">
        <v>-7307487000</v>
      </c>
      <c r="J1170" s="1130">
        <v>-5564195000</v>
      </c>
      <c r="K1170" s="1130">
        <v>-3942776000</v>
      </c>
      <c r="L1170" s="1134"/>
      <c r="M1170" s="1134"/>
      <c r="N1170" s="1134"/>
      <c r="O1170" s="1134"/>
      <c r="P1170" s="1134"/>
      <c r="Q1170" s="1134"/>
      <c r="R1170" s="1110"/>
      <c r="S1170" s="1135"/>
      <c r="T1170" s="1135"/>
      <c r="U1170" s="1135"/>
      <c r="V1170" s="1135"/>
      <c r="W1170" s="1135"/>
      <c r="X1170" s="1135"/>
      <c r="Y1170" s="1135"/>
      <c r="Z1170" s="1135"/>
      <c r="AA1170" s="1135"/>
      <c r="AB1170" s="1135"/>
      <c r="AC1170" s="1135"/>
      <c r="AD1170" s="1135"/>
      <c r="AE1170" s="1135"/>
      <c r="AF1170" s="1135"/>
      <c r="AG1170" s="1135"/>
      <c r="AH1170" s="1135"/>
      <c r="AI1170" s="1135"/>
      <c r="AJ1170" s="1135"/>
      <c r="AK1170" s="1135"/>
      <c r="AL1170" s="1135"/>
      <c r="AM1170" s="1135"/>
      <c r="AN1170" s="1135"/>
      <c r="AO1170" s="1135"/>
      <c r="AP1170" s="1135"/>
      <c r="AQ1170" s="1135"/>
      <c r="AR1170" s="1135"/>
      <c r="AS1170" s="1135"/>
      <c r="AT1170" s="1135"/>
      <c r="AU1170" s="1135"/>
      <c r="AV1170" s="1135"/>
      <c r="AW1170" s="1135"/>
      <c r="AX1170" s="1135"/>
      <c r="AY1170" s="1135"/>
      <c r="AZ1170" s="1135"/>
      <c r="BA1170" s="1135"/>
      <c r="BB1170" s="1135"/>
      <c r="BC1170" s="1135"/>
      <c r="BD1170" s="1135"/>
      <c r="BE1170" s="1135"/>
      <c r="BF1170" s="1135"/>
      <c r="BG1170" s="1135"/>
      <c r="BH1170" s="1135"/>
      <c r="BI1170" s="1135"/>
      <c r="BJ1170" s="1135"/>
      <c r="BK1170" s="1135"/>
      <c r="BL1170" s="1135"/>
      <c r="BM1170" s="1135"/>
      <c r="BN1170" s="1135"/>
      <c r="BO1170" s="1135"/>
      <c r="BP1170" s="1135"/>
      <c r="BQ1170" s="1135"/>
      <c r="BR1170" s="1135"/>
      <c r="BS1170" s="1135"/>
      <c r="BT1170" s="1135"/>
    </row>
    <row r="1171" spans="1:72" s="450" customFormat="1" ht="16.350000000000001" customHeight="1" outlineLevel="2">
      <c r="A1171" s="1105"/>
      <c r="B1171" s="1133" t="s">
        <v>54</v>
      </c>
      <c r="C1171" s="1130"/>
      <c r="D1171" s="1130">
        <v>4323283000</v>
      </c>
      <c r="E1171" s="1130">
        <v>4282173000</v>
      </c>
      <c r="F1171" s="1130">
        <v>1364883000</v>
      </c>
      <c r="G1171" s="1130">
        <v>570506000</v>
      </c>
      <c r="H1171" s="1130">
        <v>787247000</v>
      </c>
      <c r="I1171" s="1130">
        <v>1164871000</v>
      </c>
      <c r="J1171" s="1130">
        <v>790783000</v>
      </c>
      <c r="K1171" s="1130">
        <v>443937000</v>
      </c>
      <c r="L1171" s="1134"/>
      <c r="M1171" s="1134"/>
      <c r="N1171" s="1134"/>
      <c r="O1171" s="1134"/>
      <c r="P1171" s="1134"/>
      <c r="Q1171" s="1134"/>
      <c r="R1171" s="1110"/>
      <c r="S1171" s="1135"/>
      <c r="T1171" s="1135"/>
      <c r="U1171" s="1135"/>
      <c r="V1171" s="1135"/>
      <c r="W1171" s="1135"/>
      <c r="X1171" s="1135"/>
      <c r="Y1171" s="1135"/>
      <c r="Z1171" s="1135"/>
      <c r="AA1171" s="1135"/>
      <c r="AB1171" s="1135"/>
      <c r="AC1171" s="1135"/>
      <c r="AD1171" s="1135"/>
      <c r="AE1171" s="1135"/>
      <c r="AF1171" s="1135"/>
      <c r="AG1171" s="1135"/>
      <c r="AH1171" s="1135"/>
      <c r="AI1171" s="1135"/>
      <c r="AJ1171" s="1135"/>
      <c r="AK1171" s="1135"/>
      <c r="AL1171" s="1135"/>
      <c r="AM1171" s="1135"/>
      <c r="AN1171" s="1135"/>
      <c r="AO1171" s="1135"/>
      <c r="AP1171" s="1135"/>
      <c r="AQ1171" s="1135"/>
      <c r="AR1171" s="1135"/>
      <c r="AS1171" s="1135"/>
      <c r="AT1171" s="1135"/>
      <c r="AU1171" s="1135"/>
      <c r="AV1171" s="1135"/>
      <c r="AW1171" s="1135"/>
      <c r="AX1171" s="1135"/>
      <c r="AY1171" s="1135"/>
      <c r="AZ1171" s="1135"/>
      <c r="BA1171" s="1135"/>
      <c r="BB1171" s="1135"/>
      <c r="BC1171" s="1135"/>
      <c r="BD1171" s="1135"/>
      <c r="BE1171" s="1135"/>
      <c r="BF1171" s="1135"/>
      <c r="BG1171" s="1135"/>
      <c r="BH1171" s="1135"/>
      <c r="BI1171" s="1135"/>
      <c r="BJ1171" s="1135"/>
      <c r="BK1171" s="1135"/>
      <c r="BL1171" s="1135"/>
      <c r="BM1171" s="1135"/>
      <c r="BN1171" s="1135"/>
      <c r="BO1171" s="1135"/>
      <c r="BP1171" s="1135"/>
      <c r="BQ1171" s="1135"/>
      <c r="BR1171" s="1135"/>
      <c r="BS1171" s="1135"/>
      <c r="BT1171" s="1135"/>
    </row>
    <row r="1172" spans="1:72" s="1141" customFormat="1" ht="16.350000000000001" customHeight="1" outlineLevel="2">
      <c r="A1172" s="1105"/>
      <c r="B1172" s="1137" t="s">
        <v>844</v>
      </c>
      <c r="C1172" s="1138"/>
      <c r="D1172" s="1138">
        <v>-71203070000</v>
      </c>
      <c r="E1172" s="1138">
        <v>-60350243000</v>
      </c>
      <c r="F1172" s="1138">
        <v>-50796984000</v>
      </c>
      <c r="G1172" s="1138">
        <f>G1169+G1170+G1171</f>
        <v>-39651901000</v>
      </c>
      <c r="H1172" s="1138">
        <f>H1169+H1170+H1171</f>
        <v>-29738517000</v>
      </c>
      <c r="I1172" s="1138">
        <f>I1169+I1170+I1171</f>
        <v>-21697603000</v>
      </c>
      <c r="J1172" s="1138">
        <f>J1169+J1170+J1171</f>
        <v>-15554987000</v>
      </c>
      <c r="K1172" s="1138">
        <f>K1169+K1170+K1171</f>
        <v>-10781575000</v>
      </c>
      <c r="L1172" s="1139"/>
      <c r="M1172" s="1139"/>
      <c r="N1172" s="1139"/>
      <c r="O1172" s="1139"/>
      <c r="P1172" s="1139"/>
      <c r="Q1172" s="1139"/>
      <c r="R1172" s="1110"/>
      <c r="S1172" s="1140"/>
      <c r="T1172" s="1140"/>
      <c r="U1172" s="1140"/>
      <c r="V1172" s="1140"/>
      <c r="W1172" s="1140"/>
      <c r="X1172" s="1140"/>
      <c r="Y1172" s="1140"/>
      <c r="Z1172" s="1140"/>
      <c r="AA1172" s="1140"/>
      <c r="AB1172" s="1140"/>
      <c r="AC1172" s="1140"/>
      <c r="AD1172" s="1140"/>
      <c r="AE1172" s="1140"/>
      <c r="AF1172" s="1140"/>
      <c r="AG1172" s="1140"/>
      <c r="AH1172" s="1140"/>
      <c r="AI1172" s="1140"/>
      <c r="AJ1172" s="1140"/>
      <c r="AK1172" s="1140"/>
      <c r="AL1172" s="1140"/>
      <c r="AM1172" s="1140"/>
      <c r="AN1172" s="1140"/>
      <c r="AO1172" s="1140"/>
      <c r="AP1172" s="1140"/>
      <c r="AQ1172" s="1140"/>
      <c r="AR1172" s="1140"/>
      <c r="AS1172" s="1140"/>
      <c r="AT1172" s="1140"/>
      <c r="AU1172" s="1140"/>
      <c r="AV1172" s="1140"/>
      <c r="AW1172" s="1140"/>
      <c r="AX1172" s="1140"/>
      <c r="AY1172" s="1140"/>
      <c r="AZ1172" s="1140"/>
      <c r="BA1172" s="1140"/>
      <c r="BB1172" s="1140"/>
      <c r="BC1172" s="1140"/>
      <c r="BD1172" s="1140"/>
      <c r="BE1172" s="1140"/>
      <c r="BF1172" s="1140"/>
      <c r="BG1172" s="1140"/>
      <c r="BH1172" s="1140"/>
      <c r="BI1172" s="1140"/>
      <c r="BJ1172" s="1140"/>
      <c r="BK1172" s="1140"/>
      <c r="BL1172" s="1140"/>
      <c r="BM1172" s="1140"/>
      <c r="BN1172" s="1140"/>
      <c r="BO1172" s="1140"/>
      <c r="BP1172" s="1140"/>
      <c r="BQ1172" s="1140"/>
      <c r="BR1172" s="1140"/>
      <c r="BS1172" s="1140"/>
      <c r="BT1172" s="1140"/>
    </row>
    <row r="1173" spans="1:72" s="1145" customFormat="1" ht="16.350000000000001" customHeight="1" outlineLevel="2">
      <c r="A1173" s="1105"/>
      <c r="B1173" s="1142"/>
      <c r="C1173" s="1130"/>
      <c r="D1173" s="1130"/>
      <c r="E1173" s="1130"/>
      <c r="F1173" s="1130"/>
      <c r="G1173" s="1130"/>
      <c r="H1173" s="1130"/>
      <c r="I1173" s="1130"/>
      <c r="J1173" s="1130"/>
      <c r="K1173" s="1130"/>
      <c r="L1173" s="1143"/>
      <c r="M1173" s="1143"/>
      <c r="N1173" s="1143"/>
      <c r="O1173" s="1143"/>
      <c r="P1173" s="1143"/>
      <c r="Q1173" s="1143"/>
      <c r="R1173" s="1110"/>
      <c r="S1173" s="1144"/>
      <c r="T1173" s="1144"/>
      <c r="U1173" s="1144"/>
      <c r="V1173" s="1144"/>
      <c r="W1173" s="1144"/>
      <c r="X1173" s="1144"/>
      <c r="Y1173" s="1144"/>
      <c r="Z1173" s="1144"/>
      <c r="AA1173" s="1144"/>
      <c r="AB1173" s="1144"/>
      <c r="AC1173" s="1144"/>
      <c r="AD1173" s="1144"/>
      <c r="AE1173" s="1144"/>
      <c r="AF1173" s="1144"/>
      <c r="AG1173" s="1144"/>
      <c r="AH1173" s="1144"/>
      <c r="AI1173" s="1144"/>
      <c r="AJ1173" s="1144"/>
      <c r="AK1173" s="1144"/>
      <c r="AL1173" s="1144"/>
      <c r="AM1173" s="1144"/>
      <c r="AN1173" s="1144"/>
      <c r="AO1173" s="1144"/>
      <c r="AP1173" s="1144"/>
      <c r="AQ1173" s="1144"/>
      <c r="AR1173" s="1144"/>
      <c r="AS1173" s="1144"/>
      <c r="AT1173" s="1144"/>
      <c r="AU1173" s="1144"/>
      <c r="AV1173" s="1144"/>
      <c r="AW1173" s="1144"/>
      <c r="AX1173" s="1144"/>
      <c r="AY1173" s="1144"/>
      <c r="AZ1173" s="1144"/>
      <c r="BA1173" s="1144"/>
      <c r="BB1173" s="1144"/>
      <c r="BC1173" s="1144"/>
      <c r="BD1173" s="1144"/>
      <c r="BE1173" s="1144"/>
      <c r="BF1173" s="1144"/>
      <c r="BG1173" s="1144"/>
      <c r="BH1173" s="1144"/>
      <c r="BI1173" s="1144"/>
      <c r="BJ1173" s="1144"/>
      <c r="BK1173" s="1144"/>
      <c r="BL1173" s="1144"/>
      <c r="BM1173" s="1144"/>
      <c r="BN1173" s="1144"/>
      <c r="BO1173" s="1144"/>
      <c r="BP1173" s="1144"/>
      <c r="BQ1173" s="1144"/>
      <c r="BR1173" s="1144"/>
      <c r="BS1173" s="1144"/>
      <c r="BT1173" s="1144"/>
    </row>
    <row r="1174" spans="1:72" s="1145" customFormat="1" ht="16.350000000000001" customHeight="1" outlineLevel="2">
      <c r="A1174" s="1105"/>
      <c r="B1174" s="1142" t="s">
        <v>845</v>
      </c>
      <c r="C1174" s="1130"/>
      <c r="D1174" s="1130">
        <v>43902809000</v>
      </c>
      <c r="E1174" s="1130">
        <v>37937466000</v>
      </c>
      <c r="F1174" s="1130">
        <v>34366829000</v>
      </c>
      <c r="G1174" s="1130">
        <f>G1161+G1169</f>
        <v>29248906000</v>
      </c>
      <c r="H1174" s="1130">
        <f>H1161+H1169</f>
        <v>26766456000</v>
      </c>
      <c r="I1174" s="1130">
        <f>I1161+I1169</f>
        <v>22296464000</v>
      </c>
      <c r="J1174" s="1130">
        <f>J1161+J1169</f>
        <v>17826166000</v>
      </c>
      <c r="K1174" s="1130">
        <f>K1161+K1169</f>
        <v>10674143000</v>
      </c>
      <c r="L1174" s="1143"/>
      <c r="M1174" s="1143"/>
      <c r="N1174" s="1143"/>
      <c r="O1174" s="1143"/>
      <c r="P1174" s="1143"/>
      <c r="Q1174" s="1143"/>
      <c r="R1174" s="1110"/>
      <c r="S1174" s="1144"/>
      <c r="T1174" s="1144"/>
      <c r="U1174" s="1144"/>
      <c r="V1174" s="1144"/>
      <c r="W1174" s="1144"/>
      <c r="X1174" s="1144"/>
      <c r="Y1174" s="1144"/>
      <c r="Z1174" s="1144"/>
      <c r="AA1174" s="1144"/>
      <c r="AB1174" s="1144"/>
      <c r="AC1174" s="1144"/>
      <c r="AD1174" s="1144"/>
      <c r="AE1174" s="1144"/>
      <c r="AF1174" s="1144"/>
      <c r="AG1174" s="1144"/>
      <c r="AH1174" s="1144"/>
      <c r="AI1174" s="1144"/>
      <c r="AJ1174" s="1144"/>
      <c r="AK1174" s="1144"/>
      <c r="AL1174" s="1144"/>
      <c r="AM1174" s="1144"/>
      <c r="AN1174" s="1144"/>
      <c r="AO1174" s="1144"/>
      <c r="AP1174" s="1144"/>
      <c r="AQ1174" s="1144"/>
      <c r="AR1174" s="1144"/>
      <c r="AS1174" s="1144"/>
      <c r="AT1174" s="1144"/>
      <c r="AU1174" s="1144"/>
      <c r="AV1174" s="1144"/>
      <c r="AW1174" s="1144"/>
      <c r="AX1174" s="1144"/>
      <c r="AY1174" s="1144"/>
      <c r="AZ1174" s="1144"/>
      <c r="BA1174" s="1144"/>
      <c r="BB1174" s="1144"/>
      <c r="BC1174" s="1144"/>
      <c r="BD1174" s="1144"/>
      <c r="BE1174" s="1144"/>
      <c r="BF1174" s="1144"/>
      <c r="BG1174" s="1144"/>
      <c r="BH1174" s="1144"/>
      <c r="BI1174" s="1144"/>
      <c r="BJ1174" s="1144"/>
      <c r="BK1174" s="1144"/>
      <c r="BL1174" s="1144"/>
      <c r="BM1174" s="1144"/>
      <c r="BN1174" s="1144"/>
      <c r="BO1174" s="1144"/>
      <c r="BP1174" s="1144"/>
      <c r="BQ1174" s="1144"/>
      <c r="BR1174" s="1144"/>
      <c r="BS1174" s="1144"/>
      <c r="BT1174" s="1144"/>
    </row>
    <row r="1175" spans="1:72" s="1145" customFormat="1" ht="16.350000000000001" customHeight="1" outlineLevel="2">
      <c r="A1175" s="1105"/>
      <c r="B1175" s="1146" t="s">
        <v>846</v>
      </c>
      <c r="C1175" s="1130"/>
      <c r="D1175" s="1130">
        <f>D1176-D1174</f>
        <v>-1004324000</v>
      </c>
      <c r="E1175" s="1130">
        <f>E1176-E1174</f>
        <v>5965343000</v>
      </c>
      <c r="F1175" s="1130">
        <f t="shared" ref="F1175:K1175" si="154">F1176-F1174</f>
        <v>3570637000</v>
      </c>
      <c r="G1175" s="1130">
        <f t="shared" si="154"/>
        <v>5117923000</v>
      </c>
      <c r="H1175" s="1130">
        <f t="shared" si="154"/>
        <v>2482450000</v>
      </c>
      <c r="I1175" s="1130">
        <f t="shared" si="154"/>
        <v>4469992000</v>
      </c>
      <c r="J1175" s="1130">
        <f t="shared" si="154"/>
        <v>4470298000</v>
      </c>
      <c r="K1175" s="1130">
        <f t="shared" si="154"/>
        <v>7152023000</v>
      </c>
      <c r="L1175" s="1143"/>
      <c r="M1175" s="1143"/>
      <c r="N1175" s="1143"/>
      <c r="O1175" s="1143"/>
      <c r="P1175" s="1143"/>
      <c r="Q1175" s="1143"/>
      <c r="R1175" s="1110"/>
      <c r="S1175" s="1144"/>
      <c r="T1175" s="1144"/>
      <c r="U1175" s="1144"/>
      <c r="V1175" s="1144"/>
      <c r="W1175" s="1144"/>
      <c r="X1175" s="1144"/>
      <c r="Y1175" s="1144"/>
      <c r="Z1175" s="1144"/>
      <c r="AA1175" s="1144"/>
      <c r="AB1175" s="1144"/>
      <c r="AC1175" s="1144"/>
      <c r="AD1175" s="1144"/>
      <c r="AE1175" s="1144"/>
      <c r="AF1175" s="1144"/>
      <c r="AG1175" s="1144"/>
      <c r="AH1175" s="1144"/>
      <c r="AI1175" s="1144"/>
      <c r="AJ1175" s="1144"/>
      <c r="AK1175" s="1144"/>
      <c r="AL1175" s="1144"/>
      <c r="AM1175" s="1144"/>
      <c r="AN1175" s="1144"/>
      <c r="AO1175" s="1144"/>
      <c r="AP1175" s="1144"/>
      <c r="AQ1175" s="1144"/>
      <c r="AR1175" s="1144"/>
      <c r="AS1175" s="1144"/>
      <c r="AT1175" s="1144"/>
      <c r="AU1175" s="1144"/>
      <c r="AV1175" s="1144"/>
      <c r="AW1175" s="1144"/>
      <c r="AX1175" s="1144"/>
      <c r="AY1175" s="1144"/>
      <c r="AZ1175" s="1144"/>
      <c r="BA1175" s="1144"/>
      <c r="BB1175" s="1144"/>
      <c r="BC1175" s="1144"/>
      <c r="BD1175" s="1144"/>
      <c r="BE1175" s="1144"/>
      <c r="BF1175" s="1144"/>
      <c r="BG1175" s="1144"/>
      <c r="BH1175" s="1144"/>
      <c r="BI1175" s="1144"/>
      <c r="BJ1175" s="1144"/>
      <c r="BK1175" s="1144"/>
      <c r="BL1175" s="1144"/>
      <c r="BM1175" s="1144"/>
      <c r="BN1175" s="1144"/>
      <c r="BO1175" s="1144"/>
      <c r="BP1175" s="1144"/>
      <c r="BQ1175" s="1144"/>
      <c r="BR1175" s="1144"/>
      <c r="BS1175" s="1144"/>
      <c r="BT1175" s="1144"/>
    </row>
    <row r="1176" spans="1:72" s="1141" customFormat="1" ht="16.350000000000001" customHeight="1" outlineLevel="2">
      <c r="A1176" s="1105"/>
      <c r="B1176" s="1137" t="s">
        <v>847</v>
      </c>
      <c r="C1176" s="1138"/>
      <c r="D1176" s="1138">
        <v>42898485000</v>
      </c>
      <c r="E1176" s="1138">
        <v>43902809000</v>
      </c>
      <c r="F1176" s="1138">
        <v>37937466000</v>
      </c>
      <c r="G1176" s="1138">
        <f>G1167+G1172</f>
        <v>34366829000</v>
      </c>
      <c r="H1176" s="1138">
        <f>H1167+H1172</f>
        <v>29248906000</v>
      </c>
      <c r="I1176" s="1138">
        <f>I1167+I1172</f>
        <v>26766456000</v>
      </c>
      <c r="J1176" s="1138">
        <f>J1167+J1172</f>
        <v>22296464000</v>
      </c>
      <c r="K1176" s="1138">
        <f>K1167+K1172</f>
        <v>17826166000</v>
      </c>
      <c r="L1176" s="1139"/>
      <c r="M1176" s="1139"/>
      <c r="N1176" s="1139"/>
      <c r="O1176" s="1139"/>
      <c r="P1176" s="1139"/>
      <c r="Q1176" s="1139"/>
      <c r="R1176" s="1110"/>
      <c r="S1176" s="1140"/>
      <c r="T1176" s="1140"/>
      <c r="U1176" s="1140"/>
      <c r="V1176" s="1140"/>
      <c r="W1176" s="1140"/>
      <c r="X1176" s="1140"/>
      <c r="Y1176" s="1140"/>
      <c r="Z1176" s="1140"/>
      <c r="AA1176" s="1140"/>
      <c r="AB1176" s="1140"/>
      <c r="AC1176" s="1140"/>
      <c r="AD1176" s="1140"/>
      <c r="AE1176" s="1140"/>
      <c r="AF1176" s="1140"/>
      <c r="AG1176" s="1140"/>
      <c r="AH1176" s="1140"/>
      <c r="AI1176" s="1140"/>
      <c r="AJ1176" s="1140"/>
      <c r="AK1176" s="1140"/>
      <c r="AL1176" s="1140"/>
      <c r="AM1176" s="1140"/>
      <c r="AN1176" s="1140"/>
      <c r="AO1176" s="1140"/>
      <c r="AP1176" s="1140"/>
      <c r="AQ1176" s="1140"/>
      <c r="AR1176" s="1140"/>
      <c r="AS1176" s="1140"/>
      <c r="AT1176" s="1140"/>
      <c r="AU1176" s="1140"/>
      <c r="AV1176" s="1140"/>
      <c r="AW1176" s="1140"/>
      <c r="AX1176" s="1140"/>
      <c r="AY1176" s="1140"/>
      <c r="AZ1176" s="1140"/>
      <c r="BA1176" s="1140"/>
      <c r="BB1176" s="1140"/>
      <c r="BC1176" s="1140"/>
      <c r="BD1176" s="1140"/>
      <c r="BE1176" s="1140"/>
      <c r="BF1176" s="1140"/>
      <c r="BG1176" s="1140"/>
      <c r="BH1176" s="1140"/>
      <c r="BI1176" s="1140"/>
      <c r="BJ1176" s="1140"/>
      <c r="BK1176" s="1140"/>
      <c r="BL1176" s="1140"/>
      <c r="BM1176" s="1140"/>
      <c r="BN1176" s="1140"/>
      <c r="BO1176" s="1140"/>
      <c r="BP1176" s="1140"/>
      <c r="BQ1176" s="1140"/>
      <c r="BR1176" s="1140"/>
      <c r="BS1176" s="1140"/>
      <c r="BT1176" s="1140"/>
    </row>
    <row r="1177" spans="1:72" s="1152" customFormat="1" ht="16.350000000000001" customHeight="1" outlineLevel="2">
      <c r="A1177" s="1105"/>
      <c r="B1177" s="1147"/>
      <c r="C1177" s="1148"/>
      <c r="D1177" s="1148"/>
      <c r="E1177" s="1148"/>
      <c r="F1177" s="1148"/>
      <c r="G1177" s="1148"/>
      <c r="H1177" s="1149"/>
      <c r="I1177" s="1149"/>
      <c r="J1177" s="1149"/>
      <c r="K1177" s="1149"/>
      <c r="L1177" s="1150"/>
      <c r="M1177" s="1150"/>
      <c r="N1177" s="1150"/>
      <c r="O1177" s="1150"/>
      <c r="P1177" s="1151"/>
      <c r="Q1177" s="1151"/>
      <c r="R1177" s="1110"/>
    </row>
    <row r="1178" spans="1:72" s="1125" customFormat="1" ht="16.350000000000001" customHeight="1" outlineLevel="1">
      <c r="A1178" s="1105"/>
      <c r="B1178" s="1126" t="s">
        <v>849</v>
      </c>
      <c r="C1178" s="1122"/>
      <c r="D1178" s="1122">
        <v>21084476000</v>
      </c>
      <c r="E1178" s="1122">
        <v>21348435000</v>
      </c>
      <c r="F1178" s="1122">
        <v>17835186000</v>
      </c>
      <c r="G1178" s="1122">
        <f>G1195</f>
        <v>21051765000</v>
      </c>
      <c r="H1178" s="1127">
        <f>H1195</f>
        <v>24033946000</v>
      </c>
      <c r="I1178" s="1127">
        <f>I1195</f>
        <v>22221440000</v>
      </c>
      <c r="J1178" s="1127">
        <f>J1195</f>
        <v>16454520000</v>
      </c>
      <c r="K1178" s="1127">
        <f>K1195+1000</f>
        <v>14574590000</v>
      </c>
      <c r="L1178" s="1128"/>
      <c r="M1178" s="1128"/>
      <c r="N1178" s="1128"/>
      <c r="O1178" s="1128"/>
      <c r="P1178" s="1128"/>
      <c r="Q1178" s="1128"/>
      <c r="R1178" s="1110"/>
      <c r="S1178" s="1124"/>
      <c r="T1178" s="1124"/>
      <c r="U1178" s="1124"/>
      <c r="V1178" s="1124"/>
      <c r="W1178" s="1124"/>
      <c r="X1178" s="1124"/>
      <c r="Y1178" s="1124"/>
      <c r="Z1178" s="1124"/>
      <c r="AA1178" s="1124"/>
      <c r="AB1178" s="1124"/>
      <c r="AC1178" s="1124"/>
      <c r="AD1178" s="1124"/>
      <c r="AE1178" s="1124"/>
      <c r="AF1178" s="1124"/>
      <c r="AG1178" s="1124"/>
      <c r="AH1178" s="1124"/>
      <c r="AI1178" s="1124"/>
      <c r="AJ1178" s="1124"/>
      <c r="AK1178" s="1124"/>
      <c r="AL1178" s="1124"/>
      <c r="AM1178" s="1124"/>
      <c r="AN1178" s="1124"/>
      <c r="AO1178" s="1124"/>
      <c r="AP1178" s="1124"/>
      <c r="AQ1178" s="1124"/>
      <c r="AR1178" s="1124"/>
      <c r="AS1178" s="1124"/>
      <c r="AT1178" s="1124"/>
      <c r="AU1178" s="1124"/>
      <c r="AV1178" s="1124"/>
      <c r="AW1178" s="1124"/>
      <c r="AX1178" s="1124"/>
      <c r="AY1178" s="1124"/>
      <c r="AZ1178" s="1124"/>
      <c r="BA1178" s="1124"/>
      <c r="BB1178" s="1124"/>
      <c r="BC1178" s="1124"/>
      <c r="BD1178" s="1124"/>
      <c r="BE1178" s="1124"/>
      <c r="BF1178" s="1124"/>
      <c r="BG1178" s="1124"/>
      <c r="BH1178" s="1124"/>
      <c r="BI1178" s="1124"/>
      <c r="BJ1178" s="1124"/>
      <c r="BK1178" s="1124"/>
      <c r="BL1178" s="1124"/>
      <c r="BM1178" s="1124"/>
      <c r="BN1178" s="1124"/>
      <c r="BO1178" s="1124"/>
      <c r="BP1178" s="1124"/>
      <c r="BQ1178" s="1124"/>
      <c r="BR1178" s="1124"/>
      <c r="BS1178" s="1124"/>
      <c r="BT1178" s="1124"/>
    </row>
    <row r="1179" spans="1:72" s="1125" customFormat="1" ht="16.350000000000001" customHeight="1" outlineLevel="2">
      <c r="A1179" s="1105"/>
      <c r="B1179" s="1126"/>
      <c r="C1179" s="1122"/>
      <c r="D1179" s="1122"/>
      <c r="E1179" s="1122"/>
      <c r="F1179" s="1122"/>
      <c r="G1179" s="1122"/>
      <c r="H1179" s="1127"/>
      <c r="I1179" s="1127"/>
      <c r="J1179" s="1127"/>
      <c r="K1179" s="1127"/>
      <c r="L1179" s="1128"/>
      <c r="M1179" s="1128"/>
      <c r="N1179" s="1128"/>
      <c r="O1179" s="1128"/>
      <c r="P1179" s="1128"/>
      <c r="Q1179" s="1128"/>
      <c r="R1179" s="1110"/>
      <c r="S1179" s="1124"/>
      <c r="T1179" s="1124"/>
      <c r="U1179" s="1124"/>
      <c r="V1179" s="1124"/>
      <c r="W1179" s="1124"/>
      <c r="X1179" s="1124"/>
      <c r="Y1179" s="1124"/>
      <c r="Z1179" s="1124"/>
      <c r="AA1179" s="1124"/>
      <c r="AB1179" s="1124"/>
      <c r="AC1179" s="1124"/>
      <c r="AD1179" s="1124"/>
      <c r="AE1179" s="1124"/>
      <c r="AF1179" s="1124"/>
      <c r="AG1179" s="1124"/>
      <c r="AH1179" s="1124"/>
      <c r="AI1179" s="1124"/>
      <c r="AJ1179" s="1124"/>
      <c r="AK1179" s="1124"/>
      <c r="AL1179" s="1124"/>
      <c r="AM1179" s="1124"/>
      <c r="AN1179" s="1124"/>
      <c r="AO1179" s="1124"/>
      <c r="AP1179" s="1124"/>
      <c r="AQ1179" s="1124"/>
      <c r="AR1179" s="1124"/>
      <c r="AS1179" s="1124"/>
      <c r="AT1179" s="1124"/>
      <c r="AU1179" s="1124"/>
      <c r="AV1179" s="1124"/>
      <c r="AW1179" s="1124"/>
      <c r="AX1179" s="1124"/>
      <c r="AY1179" s="1124"/>
      <c r="AZ1179" s="1124"/>
      <c r="BA1179" s="1124"/>
      <c r="BB1179" s="1124"/>
      <c r="BC1179" s="1124"/>
      <c r="BD1179" s="1124"/>
      <c r="BE1179" s="1124"/>
      <c r="BF1179" s="1124"/>
      <c r="BG1179" s="1124"/>
      <c r="BH1179" s="1124"/>
      <c r="BI1179" s="1124"/>
      <c r="BJ1179" s="1124"/>
      <c r="BK1179" s="1124"/>
      <c r="BL1179" s="1124"/>
      <c r="BM1179" s="1124"/>
      <c r="BN1179" s="1124"/>
      <c r="BO1179" s="1124"/>
      <c r="BP1179" s="1124"/>
      <c r="BQ1179" s="1124"/>
      <c r="BR1179" s="1124"/>
      <c r="BS1179" s="1124"/>
      <c r="BT1179" s="1124"/>
    </row>
    <row r="1180" spans="1:72" s="1145" customFormat="1" ht="16.350000000000001" customHeight="1" outlineLevel="2">
      <c r="A1180" s="1105"/>
      <c r="B1180" s="1142" t="s">
        <v>838</v>
      </c>
      <c r="C1180" s="1130"/>
      <c r="D1180" s="1130">
        <v>40221686000</v>
      </c>
      <c r="E1180" s="1130">
        <v>34849491000</v>
      </c>
      <c r="F1180" s="1130">
        <v>35297572000</v>
      </c>
      <c r="G1180" s="1130">
        <f>H1186</f>
        <v>35044607000</v>
      </c>
      <c r="H1180" s="1130">
        <f>I1186</f>
        <v>30702855000</v>
      </c>
      <c r="I1180" s="1130">
        <f>J1186</f>
        <v>22685148000</v>
      </c>
      <c r="J1180" s="1130">
        <v>18628717000</v>
      </c>
      <c r="K1180" s="1130">
        <v>12020567000</v>
      </c>
      <c r="L1180" s="1143"/>
      <c r="M1180" s="1143"/>
      <c r="N1180" s="1143"/>
      <c r="O1180" s="1143"/>
      <c r="P1180" s="1143"/>
      <c r="Q1180" s="1143"/>
      <c r="R1180" s="1110"/>
      <c r="S1180" s="1144"/>
      <c r="T1180" s="1144"/>
      <c r="U1180" s="1144"/>
      <c r="V1180" s="1144"/>
      <c r="W1180" s="1144"/>
      <c r="X1180" s="1144"/>
      <c r="Y1180" s="1144"/>
      <c r="Z1180" s="1144"/>
      <c r="AA1180" s="1144"/>
      <c r="AB1180" s="1144"/>
      <c r="AC1180" s="1144"/>
      <c r="AD1180" s="1144"/>
      <c r="AE1180" s="1144"/>
      <c r="AF1180" s="1144"/>
      <c r="AG1180" s="1144"/>
      <c r="AH1180" s="1144"/>
      <c r="AI1180" s="1144"/>
      <c r="AJ1180" s="1144"/>
      <c r="AK1180" s="1144"/>
      <c r="AL1180" s="1144"/>
      <c r="AM1180" s="1144"/>
      <c r="AN1180" s="1144"/>
      <c r="AO1180" s="1144"/>
      <c r="AP1180" s="1144"/>
      <c r="AQ1180" s="1144"/>
      <c r="AR1180" s="1144"/>
      <c r="AS1180" s="1144"/>
      <c r="AT1180" s="1144"/>
      <c r="AU1180" s="1144"/>
      <c r="AV1180" s="1144"/>
      <c r="AW1180" s="1144"/>
      <c r="AX1180" s="1144"/>
      <c r="AY1180" s="1144"/>
      <c r="AZ1180" s="1144"/>
      <c r="BA1180" s="1144"/>
      <c r="BB1180" s="1144"/>
      <c r="BC1180" s="1144"/>
      <c r="BD1180" s="1144"/>
      <c r="BE1180" s="1144"/>
      <c r="BF1180" s="1144"/>
      <c r="BG1180" s="1144"/>
      <c r="BH1180" s="1144"/>
      <c r="BI1180" s="1144"/>
      <c r="BJ1180" s="1144"/>
      <c r="BK1180" s="1144"/>
      <c r="BL1180" s="1144"/>
      <c r="BM1180" s="1144"/>
      <c r="BN1180" s="1144"/>
      <c r="BO1180" s="1144"/>
      <c r="BP1180" s="1144"/>
      <c r="BQ1180" s="1144"/>
      <c r="BR1180" s="1144"/>
      <c r="BS1180" s="1144"/>
      <c r="BT1180" s="1144"/>
    </row>
    <row r="1181" spans="1:72" s="1145" customFormat="1" ht="16.350000000000001" customHeight="1" outlineLevel="2">
      <c r="A1181" s="1105"/>
      <c r="B1181" s="1133" t="s">
        <v>839</v>
      </c>
      <c r="C1181" s="1130"/>
      <c r="D1181" s="1130">
        <v>86124000</v>
      </c>
      <c r="E1181" s="1130"/>
      <c r="F1181" s="1130"/>
      <c r="G1181" s="1130"/>
      <c r="H1181" s="1130"/>
      <c r="I1181" s="1130"/>
      <c r="J1181" s="1130"/>
      <c r="K1181" s="1130"/>
      <c r="L1181" s="1143"/>
      <c r="M1181" s="1143"/>
      <c r="N1181" s="1143"/>
      <c r="O1181" s="1143"/>
      <c r="P1181" s="1143"/>
      <c r="Q1181" s="1143"/>
      <c r="R1181" s="1110"/>
      <c r="S1181" s="1144"/>
      <c r="T1181" s="1144"/>
      <c r="U1181" s="1144"/>
      <c r="V1181" s="1144"/>
      <c r="W1181" s="1144"/>
      <c r="X1181" s="1144"/>
      <c r="Y1181" s="1144"/>
      <c r="Z1181" s="1144"/>
      <c r="AA1181" s="1144"/>
      <c r="AB1181" s="1144"/>
      <c r="AC1181" s="1144"/>
      <c r="AD1181" s="1144"/>
      <c r="AE1181" s="1144"/>
      <c r="AF1181" s="1144"/>
      <c r="AG1181" s="1144"/>
      <c r="AH1181" s="1144"/>
      <c r="AI1181" s="1144"/>
      <c r="AJ1181" s="1144"/>
      <c r="AK1181" s="1144"/>
      <c r="AL1181" s="1144"/>
      <c r="AM1181" s="1144"/>
      <c r="AN1181" s="1144"/>
      <c r="AO1181" s="1144"/>
      <c r="AP1181" s="1144"/>
      <c r="AQ1181" s="1144"/>
      <c r="AR1181" s="1144"/>
      <c r="AS1181" s="1144"/>
      <c r="AT1181" s="1144"/>
      <c r="AU1181" s="1144"/>
      <c r="AV1181" s="1144"/>
      <c r="AW1181" s="1144"/>
      <c r="AX1181" s="1144"/>
      <c r="AY1181" s="1144"/>
      <c r="AZ1181" s="1144"/>
      <c r="BA1181" s="1144"/>
      <c r="BB1181" s="1144"/>
      <c r="BC1181" s="1144"/>
      <c r="BD1181" s="1144"/>
      <c r="BE1181" s="1144"/>
      <c r="BF1181" s="1144"/>
      <c r="BG1181" s="1144"/>
      <c r="BH1181" s="1144"/>
      <c r="BI1181" s="1144"/>
      <c r="BJ1181" s="1144"/>
      <c r="BK1181" s="1144"/>
      <c r="BL1181" s="1144"/>
      <c r="BM1181" s="1144"/>
      <c r="BN1181" s="1144"/>
      <c r="BO1181" s="1144"/>
      <c r="BP1181" s="1144"/>
      <c r="BQ1181" s="1144"/>
      <c r="BR1181" s="1144"/>
      <c r="BS1181" s="1144"/>
      <c r="BT1181" s="1144"/>
    </row>
    <row r="1182" spans="1:72" s="450" customFormat="1" ht="16.350000000000001" customHeight="1" outlineLevel="2">
      <c r="A1182" s="1105"/>
      <c r="B1182" s="1133" t="s">
        <v>53</v>
      </c>
      <c r="C1182" s="1130"/>
      <c r="D1182" s="1130">
        <v>5446876000</v>
      </c>
      <c r="E1182" s="1130">
        <v>7927982000</v>
      </c>
      <c r="F1182" s="1130">
        <v>372571000</v>
      </c>
      <c r="G1182" s="1130">
        <v>541250000</v>
      </c>
      <c r="H1182" s="1130">
        <v>5156044000</v>
      </c>
      <c r="I1182" s="1130">
        <v>8201359000</v>
      </c>
      <c r="J1182" s="1130">
        <v>4445577000</v>
      </c>
      <c r="K1182" s="1130">
        <v>6962004000</v>
      </c>
      <c r="L1182" s="1134"/>
      <c r="M1182" s="1134"/>
      <c r="N1182" s="1134"/>
      <c r="O1182" s="1134"/>
      <c r="P1182" s="1134"/>
      <c r="Q1182" s="1134"/>
      <c r="R1182" s="1110"/>
      <c r="S1182" s="1135"/>
      <c r="T1182" s="1135"/>
      <c r="U1182" s="1135"/>
      <c r="V1182" s="1135"/>
      <c r="W1182" s="1135"/>
      <c r="X1182" s="1135"/>
      <c r="Y1182" s="1135"/>
      <c r="Z1182" s="1135"/>
      <c r="AA1182" s="1135"/>
      <c r="AB1182" s="1135"/>
      <c r="AC1182" s="1135"/>
      <c r="AD1182" s="1135"/>
      <c r="AE1182" s="1135"/>
      <c r="AF1182" s="1135"/>
      <c r="AG1182" s="1135"/>
      <c r="AH1182" s="1135"/>
      <c r="AI1182" s="1135"/>
      <c r="AJ1182" s="1135"/>
      <c r="AK1182" s="1135"/>
      <c r="AL1182" s="1135"/>
      <c r="AM1182" s="1135"/>
      <c r="AN1182" s="1135"/>
      <c r="AO1182" s="1135"/>
      <c r="AP1182" s="1135"/>
      <c r="AQ1182" s="1135"/>
      <c r="AR1182" s="1135"/>
      <c r="AS1182" s="1135"/>
      <c r="AT1182" s="1135"/>
      <c r="AU1182" s="1135"/>
      <c r="AV1182" s="1135"/>
      <c r="AW1182" s="1135"/>
      <c r="AX1182" s="1135"/>
      <c r="AY1182" s="1135"/>
      <c r="AZ1182" s="1135"/>
      <c r="BA1182" s="1135"/>
      <c r="BB1182" s="1135"/>
      <c r="BC1182" s="1135"/>
      <c r="BD1182" s="1135"/>
      <c r="BE1182" s="1135"/>
      <c r="BF1182" s="1135"/>
      <c r="BG1182" s="1135"/>
      <c r="BH1182" s="1135"/>
      <c r="BI1182" s="1135"/>
      <c r="BJ1182" s="1135"/>
      <c r="BK1182" s="1135"/>
      <c r="BL1182" s="1135"/>
      <c r="BM1182" s="1135"/>
      <c r="BN1182" s="1135"/>
      <c r="BO1182" s="1135"/>
      <c r="BP1182" s="1135"/>
      <c r="BQ1182" s="1135"/>
      <c r="BR1182" s="1135"/>
      <c r="BS1182" s="1135"/>
      <c r="BT1182" s="1135"/>
    </row>
    <row r="1183" spans="1:72" s="450" customFormat="1" ht="16.350000000000001" customHeight="1" outlineLevel="2">
      <c r="A1183" s="1105"/>
      <c r="B1183" s="1133" t="s">
        <v>840</v>
      </c>
      <c r="C1183" s="1130"/>
      <c r="D1183" s="1130"/>
      <c r="E1183" s="1130">
        <v>0</v>
      </c>
      <c r="F1183" s="1130">
        <v>0</v>
      </c>
      <c r="G1183" s="1130">
        <v>0</v>
      </c>
      <c r="H1183" s="1130">
        <v>0</v>
      </c>
      <c r="I1183" s="1130">
        <v>12332000</v>
      </c>
      <c r="J1183" s="1130">
        <v>0</v>
      </c>
      <c r="K1183" s="1130">
        <v>0</v>
      </c>
      <c r="L1183" s="1134"/>
      <c r="M1183" s="1134"/>
      <c r="N1183" s="1134"/>
      <c r="O1183" s="1134"/>
      <c r="P1183" s="1134"/>
      <c r="Q1183" s="1134"/>
      <c r="R1183" s="1110"/>
      <c r="S1183" s="1135"/>
      <c r="T1183" s="1135"/>
      <c r="U1183" s="1135"/>
      <c r="V1183" s="1135"/>
      <c r="W1183" s="1135"/>
      <c r="X1183" s="1135"/>
      <c r="Y1183" s="1135"/>
      <c r="Z1183" s="1135"/>
      <c r="AA1183" s="1135"/>
      <c r="AB1183" s="1135"/>
      <c r="AC1183" s="1135"/>
      <c r="AD1183" s="1135"/>
      <c r="AE1183" s="1135"/>
      <c r="AF1183" s="1135"/>
      <c r="AG1183" s="1135"/>
      <c r="AH1183" s="1135"/>
      <c r="AI1183" s="1135"/>
      <c r="AJ1183" s="1135"/>
      <c r="AK1183" s="1135"/>
      <c r="AL1183" s="1135"/>
      <c r="AM1183" s="1135"/>
      <c r="AN1183" s="1135"/>
      <c r="AO1183" s="1135"/>
      <c r="AP1183" s="1135"/>
      <c r="AQ1183" s="1135"/>
      <c r="AR1183" s="1135"/>
      <c r="AS1183" s="1135"/>
      <c r="AT1183" s="1135"/>
      <c r="AU1183" s="1135"/>
      <c r="AV1183" s="1135"/>
      <c r="AW1183" s="1135"/>
      <c r="AX1183" s="1135"/>
      <c r="AY1183" s="1135"/>
      <c r="AZ1183" s="1135"/>
      <c r="BA1183" s="1135"/>
      <c r="BB1183" s="1135"/>
      <c r="BC1183" s="1135"/>
      <c r="BD1183" s="1135"/>
      <c r="BE1183" s="1135"/>
      <c r="BF1183" s="1135"/>
      <c r="BG1183" s="1135"/>
      <c r="BH1183" s="1135"/>
      <c r="BI1183" s="1135"/>
      <c r="BJ1183" s="1135"/>
      <c r="BK1183" s="1135"/>
      <c r="BL1183" s="1135"/>
      <c r="BM1183" s="1135"/>
      <c r="BN1183" s="1135"/>
      <c r="BO1183" s="1135"/>
      <c r="BP1183" s="1135"/>
      <c r="BQ1183" s="1135"/>
      <c r="BR1183" s="1135"/>
      <c r="BS1183" s="1135"/>
      <c r="BT1183" s="1135"/>
    </row>
    <row r="1184" spans="1:72" s="450" customFormat="1" ht="16.350000000000001" customHeight="1" outlineLevel="2">
      <c r="A1184" s="1105"/>
      <c r="B1184" s="1133" t="s">
        <v>93</v>
      </c>
      <c r="C1184" s="1130"/>
      <c r="D1184" s="1130"/>
      <c r="E1184" s="1130">
        <v>0</v>
      </c>
      <c r="F1184" s="1130">
        <v>0</v>
      </c>
      <c r="G1184" s="1130">
        <v>0</v>
      </c>
      <c r="H1184" s="1130">
        <v>0</v>
      </c>
      <c r="I1184" s="1130">
        <v>0</v>
      </c>
      <c r="J1184" s="1130">
        <v>0</v>
      </c>
      <c r="K1184" s="1130">
        <v>0</v>
      </c>
      <c r="L1184" s="1134"/>
      <c r="M1184" s="1134"/>
      <c r="N1184" s="1134"/>
      <c r="O1184" s="1134"/>
      <c r="P1184" s="1134"/>
      <c r="Q1184" s="1134"/>
      <c r="R1184" s="1110"/>
      <c r="S1184" s="1135"/>
      <c r="T1184" s="1135"/>
      <c r="U1184" s="1135"/>
      <c r="V1184" s="1135"/>
      <c r="W1184" s="1135"/>
      <c r="X1184" s="1135"/>
      <c r="Y1184" s="1135"/>
      <c r="Z1184" s="1135"/>
      <c r="AA1184" s="1135"/>
      <c r="AB1184" s="1135"/>
      <c r="AC1184" s="1135"/>
      <c r="AD1184" s="1135"/>
      <c r="AE1184" s="1135"/>
      <c r="AF1184" s="1135"/>
      <c r="AG1184" s="1135"/>
      <c r="AH1184" s="1135"/>
      <c r="AI1184" s="1135"/>
      <c r="AJ1184" s="1135"/>
      <c r="AK1184" s="1135"/>
      <c r="AL1184" s="1135"/>
      <c r="AM1184" s="1135"/>
      <c r="AN1184" s="1135"/>
      <c r="AO1184" s="1135"/>
      <c r="AP1184" s="1135"/>
      <c r="AQ1184" s="1135"/>
      <c r="AR1184" s="1135"/>
      <c r="AS1184" s="1135"/>
      <c r="AT1184" s="1135"/>
      <c r="AU1184" s="1135"/>
      <c r="AV1184" s="1135"/>
      <c r="AW1184" s="1135"/>
      <c r="AX1184" s="1135"/>
      <c r="AY1184" s="1135"/>
      <c r="AZ1184" s="1135"/>
      <c r="BA1184" s="1135"/>
      <c r="BB1184" s="1135"/>
      <c r="BC1184" s="1135"/>
      <c r="BD1184" s="1135"/>
      <c r="BE1184" s="1135"/>
      <c r="BF1184" s="1135"/>
      <c r="BG1184" s="1135"/>
      <c r="BH1184" s="1135"/>
      <c r="BI1184" s="1135"/>
      <c r="BJ1184" s="1135"/>
      <c r="BK1184" s="1135"/>
      <c r="BL1184" s="1135"/>
      <c r="BM1184" s="1135"/>
      <c r="BN1184" s="1135"/>
      <c r="BO1184" s="1135"/>
      <c r="BP1184" s="1135"/>
      <c r="BQ1184" s="1135"/>
      <c r="BR1184" s="1135"/>
      <c r="BS1184" s="1135"/>
      <c r="BT1184" s="1135"/>
    </row>
    <row r="1185" spans="1:72" s="450" customFormat="1" ht="16.350000000000001" customHeight="1" outlineLevel="2">
      <c r="A1185" s="1105"/>
      <c r="B1185" s="1133" t="s">
        <v>54</v>
      </c>
      <c r="C1185" s="1130"/>
      <c r="D1185" s="1130">
        <v>-2570002000</v>
      </c>
      <c r="E1185" s="1130">
        <v>-2555787000</v>
      </c>
      <c r="F1185" s="1130">
        <v>-820652000</v>
      </c>
      <c r="G1185" s="1130">
        <v>-288285000</v>
      </c>
      <c r="H1185" s="1130">
        <v>-814292000</v>
      </c>
      <c r="I1185" s="1130">
        <v>-195984000</v>
      </c>
      <c r="J1185" s="1130">
        <v>-389146000</v>
      </c>
      <c r="K1185" s="1130">
        <v>-353854000</v>
      </c>
      <c r="L1185" s="1134"/>
      <c r="M1185" s="1134"/>
      <c r="N1185" s="1134"/>
      <c r="O1185" s="1134"/>
      <c r="P1185" s="1134"/>
      <c r="Q1185" s="1134"/>
      <c r="R1185" s="1110"/>
      <c r="S1185" s="1135"/>
      <c r="T1185" s="1135"/>
      <c r="U1185" s="1135"/>
      <c r="V1185" s="1135"/>
      <c r="W1185" s="1135"/>
      <c r="X1185" s="1135"/>
      <c r="Y1185" s="1135"/>
      <c r="Z1185" s="1135"/>
      <c r="AA1185" s="1135"/>
      <c r="AB1185" s="1135"/>
      <c r="AC1185" s="1135"/>
      <c r="AD1185" s="1135"/>
      <c r="AE1185" s="1135"/>
      <c r="AF1185" s="1135"/>
      <c r="AG1185" s="1135"/>
      <c r="AH1185" s="1135"/>
      <c r="AI1185" s="1135"/>
      <c r="AJ1185" s="1135"/>
      <c r="AK1185" s="1135"/>
      <c r="AL1185" s="1135"/>
      <c r="AM1185" s="1135"/>
      <c r="AN1185" s="1135"/>
      <c r="AO1185" s="1135"/>
      <c r="AP1185" s="1135"/>
      <c r="AQ1185" s="1135"/>
      <c r="AR1185" s="1135"/>
      <c r="AS1185" s="1135"/>
      <c r="AT1185" s="1135"/>
      <c r="AU1185" s="1135"/>
      <c r="AV1185" s="1135"/>
      <c r="AW1185" s="1135"/>
      <c r="AX1185" s="1135"/>
      <c r="AY1185" s="1135"/>
      <c r="AZ1185" s="1135"/>
      <c r="BA1185" s="1135"/>
      <c r="BB1185" s="1135"/>
      <c r="BC1185" s="1135"/>
      <c r="BD1185" s="1135"/>
      <c r="BE1185" s="1135"/>
      <c r="BF1185" s="1135"/>
      <c r="BG1185" s="1135"/>
      <c r="BH1185" s="1135"/>
      <c r="BI1185" s="1135"/>
      <c r="BJ1185" s="1135"/>
      <c r="BK1185" s="1135"/>
      <c r="BL1185" s="1135"/>
      <c r="BM1185" s="1135"/>
      <c r="BN1185" s="1135"/>
      <c r="BO1185" s="1135"/>
      <c r="BP1185" s="1135"/>
      <c r="BQ1185" s="1135"/>
      <c r="BR1185" s="1135"/>
      <c r="BS1185" s="1135"/>
      <c r="BT1185" s="1135"/>
    </row>
    <row r="1186" spans="1:72" s="1141" customFormat="1" ht="16.350000000000001" customHeight="1" outlineLevel="2">
      <c r="A1186" s="1105"/>
      <c r="B1186" s="1137" t="s">
        <v>842</v>
      </c>
      <c r="C1186" s="1138"/>
      <c r="D1186" s="1138">
        <v>43184684000</v>
      </c>
      <c r="E1186" s="1138">
        <v>40221686000</v>
      </c>
      <c r="F1186" s="1138">
        <v>34849491000</v>
      </c>
      <c r="G1186" s="1138">
        <f>G1180+G1182+G1183+G1184+G1185</f>
        <v>35297572000</v>
      </c>
      <c r="H1186" s="1138">
        <f>H1180+H1182+H1183+H1184+H1185</f>
        <v>35044607000</v>
      </c>
      <c r="I1186" s="1138">
        <f>I1180+I1182+I1183+I1184+I1185</f>
        <v>30702855000</v>
      </c>
      <c r="J1186" s="1138">
        <f>J1180+J1182+J1183+J1184+J1185</f>
        <v>22685148000</v>
      </c>
      <c r="K1186" s="1138">
        <f>K1180+K1182+K1183+K1184+K1185</f>
        <v>18628717000</v>
      </c>
      <c r="L1186" s="1139"/>
      <c r="M1186" s="1139"/>
      <c r="N1186" s="1139"/>
      <c r="O1186" s="1139"/>
      <c r="P1186" s="1139"/>
      <c r="Q1186" s="1139"/>
      <c r="R1186" s="1110"/>
      <c r="S1186" s="1140"/>
      <c r="T1186" s="1140"/>
      <c r="U1186" s="1140"/>
      <c r="V1186" s="1140"/>
      <c r="W1186" s="1140"/>
      <c r="X1186" s="1140"/>
      <c r="Y1186" s="1140"/>
      <c r="Z1186" s="1140"/>
      <c r="AA1186" s="1140"/>
      <c r="AB1186" s="1140"/>
      <c r="AC1186" s="1140"/>
      <c r="AD1186" s="1140"/>
      <c r="AE1186" s="1140"/>
      <c r="AF1186" s="1140"/>
      <c r="AG1186" s="1140"/>
      <c r="AH1186" s="1140"/>
      <c r="AI1186" s="1140"/>
      <c r="AJ1186" s="1140"/>
      <c r="AK1186" s="1140"/>
      <c r="AL1186" s="1140"/>
      <c r="AM1186" s="1140"/>
      <c r="AN1186" s="1140"/>
      <c r="AO1186" s="1140"/>
      <c r="AP1186" s="1140"/>
      <c r="AQ1186" s="1140"/>
      <c r="AR1186" s="1140"/>
      <c r="AS1186" s="1140"/>
      <c r="AT1186" s="1140"/>
      <c r="AU1186" s="1140"/>
      <c r="AV1186" s="1140"/>
      <c r="AW1186" s="1140"/>
      <c r="AX1186" s="1140"/>
      <c r="AY1186" s="1140"/>
      <c r="AZ1186" s="1140"/>
      <c r="BA1186" s="1140"/>
      <c r="BB1186" s="1140"/>
      <c r="BC1186" s="1140"/>
      <c r="BD1186" s="1140"/>
      <c r="BE1186" s="1140"/>
      <c r="BF1186" s="1140"/>
      <c r="BG1186" s="1140"/>
      <c r="BH1186" s="1140"/>
      <c r="BI1186" s="1140"/>
      <c r="BJ1186" s="1140"/>
      <c r="BK1186" s="1140"/>
      <c r="BL1186" s="1140"/>
      <c r="BM1186" s="1140"/>
      <c r="BN1186" s="1140"/>
      <c r="BO1186" s="1140"/>
      <c r="BP1186" s="1140"/>
      <c r="BQ1186" s="1140"/>
      <c r="BR1186" s="1140"/>
      <c r="BS1186" s="1140"/>
      <c r="BT1186" s="1140"/>
    </row>
    <row r="1187" spans="1:72" s="1145" customFormat="1" ht="16.350000000000001" customHeight="1" outlineLevel="2">
      <c r="A1187" s="1105"/>
      <c r="B1187" s="1142"/>
      <c r="C1187" s="1130"/>
      <c r="D1187" s="1130"/>
      <c r="E1187" s="1130"/>
      <c r="F1187" s="1130"/>
      <c r="G1187" s="1130"/>
      <c r="H1187" s="1130"/>
      <c r="I1187" s="1130"/>
      <c r="J1187" s="1130"/>
      <c r="K1187" s="1130"/>
      <c r="L1187" s="1143"/>
      <c r="M1187" s="1143"/>
      <c r="N1187" s="1143"/>
      <c r="O1187" s="1143"/>
      <c r="P1187" s="1143"/>
      <c r="Q1187" s="1143"/>
      <c r="R1187" s="1110"/>
      <c r="S1187" s="1144"/>
      <c r="T1187" s="1144"/>
      <c r="U1187" s="1144"/>
      <c r="V1187" s="1144"/>
      <c r="W1187" s="1144"/>
      <c r="X1187" s="1144"/>
      <c r="Y1187" s="1144"/>
      <c r="Z1187" s="1144"/>
      <c r="AA1187" s="1144"/>
      <c r="AB1187" s="1144"/>
      <c r="AC1187" s="1144"/>
      <c r="AD1187" s="1144"/>
      <c r="AE1187" s="1144"/>
      <c r="AF1187" s="1144"/>
      <c r="AG1187" s="1144"/>
      <c r="AH1187" s="1144"/>
      <c r="AI1187" s="1144"/>
      <c r="AJ1187" s="1144"/>
      <c r="AK1187" s="1144"/>
      <c r="AL1187" s="1144"/>
      <c r="AM1187" s="1144"/>
      <c r="AN1187" s="1144"/>
      <c r="AO1187" s="1144"/>
      <c r="AP1187" s="1144"/>
      <c r="AQ1187" s="1144"/>
      <c r="AR1187" s="1144"/>
      <c r="AS1187" s="1144"/>
      <c r="AT1187" s="1144"/>
      <c r="AU1187" s="1144"/>
      <c r="AV1187" s="1144"/>
      <c r="AW1187" s="1144"/>
      <c r="AX1187" s="1144"/>
      <c r="AY1187" s="1144"/>
      <c r="AZ1187" s="1144"/>
      <c r="BA1187" s="1144"/>
      <c r="BB1187" s="1144"/>
      <c r="BC1187" s="1144"/>
      <c r="BD1187" s="1144"/>
      <c r="BE1187" s="1144"/>
      <c r="BF1187" s="1144"/>
      <c r="BG1187" s="1144"/>
      <c r="BH1187" s="1144"/>
      <c r="BI1187" s="1144"/>
      <c r="BJ1187" s="1144"/>
      <c r="BK1187" s="1144"/>
      <c r="BL1187" s="1144"/>
      <c r="BM1187" s="1144"/>
      <c r="BN1187" s="1144"/>
      <c r="BO1187" s="1144"/>
      <c r="BP1187" s="1144"/>
      <c r="BQ1187" s="1144"/>
      <c r="BR1187" s="1144"/>
      <c r="BS1187" s="1144"/>
      <c r="BT1187" s="1144"/>
    </row>
    <row r="1188" spans="1:72" s="1145" customFormat="1" ht="16.350000000000001" customHeight="1" outlineLevel="2">
      <c r="A1188" s="1105"/>
      <c r="B1188" s="1142" t="s">
        <v>843</v>
      </c>
      <c r="C1188" s="1130"/>
      <c r="D1188" s="1130">
        <v>-18873251000</v>
      </c>
      <c r="E1188" s="1130">
        <v>-17014305000</v>
      </c>
      <c r="F1188" s="1130">
        <v>-14245807000</v>
      </c>
      <c r="G1188" s="1130">
        <f>H1191</f>
        <v>-11010661000</v>
      </c>
      <c r="H1188" s="1130">
        <f>I1191</f>
        <v>-8481415000</v>
      </c>
      <c r="I1188" s="1130">
        <f>J1191</f>
        <v>-6230628000</v>
      </c>
      <c r="J1188" s="1130">
        <v>-4054124000</v>
      </c>
      <c r="K1188" s="1130">
        <v>-2384602000</v>
      </c>
      <c r="L1188" s="1143"/>
      <c r="M1188" s="1143"/>
      <c r="N1188" s="1143"/>
      <c r="O1188" s="1143"/>
      <c r="P1188" s="1143"/>
      <c r="Q1188" s="1143"/>
      <c r="R1188" s="1110"/>
      <c r="S1188" s="1144"/>
      <c r="T1188" s="1144"/>
      <c r="U1188" s="1144"/>
      <c r="V1188" s="1144"/>
      <c r="W1188" s="1144"/>
      <c r="X1188" s="1144"/>
      <c r="Y1188" s="1144"/>
      <c r="Z1188" s="1144"/>
      <c r="AA1188" s="1144"/>
      <c r="AB1188" s="1144"/>
      <c r="AC1188" s="1144"/>
      <c r="AD1188" s="1144"/>
      <c r="AE1188" s="1144"/>
      <c r="AF1188" s="1144"/>
      <c r="AG1188" s="1144"/>
      <c r="AH1188" s="1144"/>
      <c r="AI1188" s="1144"/>
      <c r="AJ1188" s="1144"/>
      <c r="AK1188" s="1144"/>
      <c r="AL1188" s="1144"/>
      <c r="AM1188" s="1144"/>
      <c r="AN1188" s="1144"/>
      <c r="AO1188" s="1144"/>
      <c r="AP1188" s="1144"/>
      <c r="AQ1188" s="1144"/>
      <c r="AR1188" s="1144"/>
      <c r="AS1188" s="1144"/>
      <c r="AT1188" s="1144"/>
      <c r="AU1188" s="1144"/>
      <c r="AV1188" s="1144"/>
      <c r="AW1188" s="1144"/>
      <c r="AX1188" s="1144"/>
      <c r="AY1188" s="1144"/>
      <c r="AZ1188" s="1144"/>
      <c r="BA1188" s="1144"/>
      <c r="BB1188" s="1144"/>
      <c r="BC1188" s="1144"/>
      <c r="BD1188" s="1144"/>
      <c r="BE1188" s="1144"/>
      <c r="BF1188" s="1144"/>
      <c r="BG1188" s="1144"/>
      <c r="BH1188" s="1144"/>
      <c r="BI1188" s="1144"/>
      <c r="BJ1188" s="1144"/>
      <c r="BK1188" s="1144"/>
      <c r="BL1188" s="1144"/>
      <c r="BM1188" s="1144"/>
      <c r="BN1188" s="1144"/>
      <c r="BO1188" s="1144"/>
      <c r="BP1188" s="1144"/>
      <c r="BQ1188" s="1144"/>
      <c r="BR1188" s="1144"/>
      <c r="BS1188" s="1144"/>
      <c r="BT1188" s="1144"/>
    </row>
    <row r="1189" spans="1:72" s="450" customFormat="1" ht="16.350000000000001" customHeight="1" outlineLevel="2">
      <c r="A1189" s="1105"/>
      <c r="B1189" s="1133" t="s">
        <v>94</v>
      </c>
      <c r="C1189" s="1130"/>
      <c r="D1189" s="1130">
        <v>-5318282000</v>
      </c>
      <c r="E1189" s="1130">
        <v>-4234083000</v>
      </c>
      <c r="F1189" s="1130">
        <v>-3471326000</v>
      </c>
      <c r="G1189" s="1130">
        <v>-3451953000</v>
      </c>
      <c r="H1189" s="1130">
        <v>-3124728000</v>
      </c>
      <c r="I1189" s="1130">
        <v>-2378215000</v>
      </c>
      <c r="J1189" s="1130">
        <v>-2457465000</v>
      </c>
      <c r="K1189" s="1130">
        <v>-1872169000</v>
      </c>
      <c r="L1189" s="1134"/>
      <c r="M1189" s="1134"/>
      <c r="N1189" s="1134"/>
      <c r="O1189" s="1134"/>
      <c r="P1189" s="1134"/>
      <c r="Q1189" s="1134"/>
      <c r="R1189" s="1110"/>
      <c r="S1189" s="1135"/>
      <c r="T1189" s="1135"/>
      <c r="U1189" s="1135"/>
      <c r="V1189" s="1135"/>
      <c r="W1189" s="1135"/>
      <c r="X1189" s="1135"/>
      <c r="Y1189" s="1135"/>
      <c r="Z1189" s="1135"/>
      <c r="AA1189" s="1135"/>
      <c r="AB1189" s="1135"/>
      <c r="AC1189" s="1135"/>
      <c r="AD1189" s="1135"/>
      <c r="AE1189" s="1135"/>
      <c r="AF1189" s="1135"/>
      <c r="AG1189" s="1135"/>
      <c r="AH1189" s="1135"/>
      <c r="AI1189" s="1135"/>
      <c r="AJ1189" s="1135"/>
      <c r="AK1189" s="1135"/>
      <c r="AL1189" s="1135"/>
      <c r="AM1189" s="1135"/>
      <c r="AN1189" s="1135"/>
      <c r="AO1189" s="1135"/>
      <c r="AP1189" s="1135"/>
      <c r="AQ1189" s="1135"/>
      <c r="AR1189" s="1135"/>
      <c r="AS1189" s="1135"/>
      <c r="AT1189" s="1135"/>
      <c r="AU1189" s="1135"/>
      <c r="AV1189" s="1135"/>
      <c r="AW1189" s="1135"/>
      <c r="AX1189" s="1135"/>
      <c r="AY1189" s="1135"/>
      <c r="AZ1189" s="1135"/>
      <c r="BA1189" s="1135"/>
      <c r="BB1189" s="1135"/>
      <c r="BC1189" s="1135"/>
      <c r="BD1189" s="1135"/>
      <c r="BE1189" s="1135"/>
      <c r="BF1189" s="1135"/>
      <c r="BG1189" s="1135"/>
      <c r="BH1189" s="1135"/>
      <c r="BI1189" s="1135"/>
      <c r="BJ1189" s="1135"/>
      <c r="BK1189" s="1135"/>
      <c r="BL1189" s="1135"/>
      <c r="BM1189" s="1135"/>
      <c r="BN1189" s="1135"/>
      <c r="BO1189" s="1135"/>
      <c r="BP1189" s="1135"/>
      <c r="BQ1189" s="1135"/>
      <c r="BR1189" s="1135"/>
      <c r="BS1189" s="1135"/>
      <c r="BT1189" s="1135"/>
    </row>
    <row r="1190" spans="1:72" s="450" customFormat="1" ht="16.350000000000001" customHeight="1" outlineLevel="2">
      <c r="A1190" s="1105"/>
      <c r="B1190" s="1133" t="s">
        <v>54</v>
      </c>
      <c r="C1190" s="1130"/>
      <c r="D1190" s="1130">
        <v>2091325000</v>
      </c>
      <c r="E1190" s="1130">
        <v>2375137000</v>
      </c>
      <c r="F1190" s="1130">
        <v>702828000</v>
      </c>
      <c r="G1190" s="1130">
        <v>216807000</v>
      </c>
      <c r="H1190" s="1130">
        <v>595482000</v>
      </c>
      <c r="I1190" s="1130">
        <v>127428000</v>
      </c>
      <c r="J1190" s="1130">
        <v>280961000</v>
      </c>
      <c r="K1190" s="1130">
        <v>202643000</v>
      </c>
      <c r="L1190" s="1134"/>
      <c r="M1190" s="1134"/>
      <c r="N1190" s="1134"/>
      <c r="O1190" s="1134"/>
      <c r="P1190" s="1134"/>
      <c r="Q1190" s="1134"/>
      <c r="R1190" s="1110"/>
      <c r="S1190" s="1135"/>
      <c r="T1190" s="1135"/>
      <c r="U1190" s="1135"/>
      <c r="V1190" s="1135"/>
      <c r="W1190" s="1135"/>
      <c r="X1190" s="1135"/>
      <c r="Y1190" s="1135"/>
      <c r="Z1190" s="1135"/>
      <c r="AA1190" s="1135"/>
      <c r="AB1190" s="1135"/>
      <c r="AC1190" s="1135"/>
      <c r="AD1190" s="1135"/>
      <c r="AE1190" s="1135"/>
      <c r="AF1190" s="1135"/>
      <c r="AG1190" s="1135"/>
      <c r="AH1190" s="1135"/>
      <c r="AI1190" s="1135"/>
      <c r="AJ1190" s="1135"/>
      <c r="AK1190" s="1135"/>
      <c r="AL1190" s="1135"/>
      <c r="AM1190" s="1135"/>
      <c r="AN1190" s="1135"/>
      <c r="AO1190" s="1135"/>
      <c r="AP1190" s="1135"/>
      <c r="AQ1190" s="1135"/>
      <c r="AR1190" s="1135"/>
      <c r="AS1190" s="1135"/>
      <c r="AT1190" s="1135"/>
      <c r="AU1190" s="1135"/>
      <c r="AV1190" s="1135"/>
      <c r="AW1190" s="1135"/>
      <c r="AX1190" s="1135"/>
      <c r="AY1190" s="1135"/>
      <c r="AZ1190" s="1135"/>
      <c r="BA1190" s="1135"/>
      <c r="BB1190" s="1135"/>
      <c r="BC1190" s="1135"/>
      <c r="BD1190" s="1135"/>
      <c r="BE1190" s="1135"/>
      <c r="BF1190" s="1135"/>
      <c r="BG1190" s="1135"/>
      <c r="BH1190" s="1135"/>
      <c r="BI1190" s="1135"/>
      <c r="BJ1190" s="1135"/>
      <c r="BK1190" s="1135"/>
      <c r="BL1190" s="1135"/>
      <c r="BM1190" s="1135"/>
      <c r="BN1190" s="1135"/>
      <c r="BO1190" s="1135"/>
      <c r="BP1190" s="1135"/>
      <c r="BQ1190" s="1135"/>
      <c r="BR1190" s="1135"/>
      <c r="BS1190" s="1135"/>
      <c r="BT1190" s="1135"/>
    </row>
    <row r="1191" spans="1:72" s="1141" customFormat="1" ht="16.350000000000001" customHeight="1" outlineLevel="2">
      <c r="A1191" s="1105"/>
      <c r="B1191" s="1137" t="s">
        <v>844</v>
      </c>
      <c r="C1191" s="1138"/>
      <c r="D1191" s="1138">
        <v>-22100208000</v>
      </c>
      <c r="E1191" s="1138">
        <v>-18873251000</v>
      </c>
      <c r="F1191" s="1138">
        <v>-17014305000</v>
      </c>
      <c r="G1191" s="1138">
        <f>G1188+G1189+G1190</f>
        <v>-14245807000</v>
      </c>
      <c r="H1191" s="1138">
        <f>H1188+H1189+H1190</f>
        <v>-11010661000</v>
      </c>
      <c r="I1191" s="1138">
        <f>I1188+I1189+I1190</f>
        <v>-8481415000</v>
      </c>
      <c r="J1191" s="1138">
        <f>J1188+J1189+J1190</f>
        <v>-6230628000</v>
      </c>
      <c r="K1191" s="1138">
        <f>K1188+K1189+K1190</f>
        <v>-4054128000</v>
      </c>
      <c r="L1191" s="1139"/>
      <c r="M1191" s="1139"/>
      <c r="N1191" s="1139"/>
      <c r="O1191" s="1139"/>
      <c r="P1191" s="1139"/>
      <c r="Q1191" s="1139"/>
      <c r="R1191" s="1110"/>
      <c r="S1191" s="1140"/>
      <c r="T1191" s="1140"/>
      <c r="U1191" s="1140"/>
      <c r="V1191" s="1140"/>
      <c r="W1191" s="1140"/>
      <c r="X1191" s="1140"/>
      <c r="Y1191" s="1140"/>
      <c r="Z1191" s="1140"/>
      <c r="AA1191" s="1140"/>
      <c r="AB1191" s="1140"/>
      <c r="AC1191" s="1140"/>
      <c r="AD1191" s="1140"/>
      <c r="AE1191" s="1140"/>
      <c r="AF1191" s="1140"/>
      <c r="AG1191" s="1140"/>
      <c r="AH1191" s="1140"/>
      <c r="AI1191" s="1140"/>
      <c r="AJ1191" s="1140"/>
      <c r="AK1191" s="1140"/>
      <c r="AL1191" s="1140"/>
      <c r="AM1191" s="1140"/>
      <c r="AN1191" s="1140"/>
      <c r="AO1191" s="1140"/>
      <c r="AP1191" s="1140"/>
      <c r="AQ1191" s="1140"/>
      <c r="AR1191" s="1140"/>
      <c r="AS1191" s="1140"/>
      <c r="AT1191" s="1140"/>
      <c r="AU1191" s="1140"/>
      <c r="AV1191" s="1140"/>
      <c r="AW1191" s="1140"/>
      <c r="AX1191" s="1140"/>
      <c r="AY1191" s="1140"/>
      <c r="AZ1191" s="1140"/>
      <c r="BA1191" s="1140"/>
      <c r="BB1191" s="1140"/>
      <c r="BC1191" s="1140"/>
      <c r="BD1191" s="1140"/>
      <c r="BE1191" s="1140"/>
      <c r="BF1191" s="1140"/>
      <c r="BG1191" s="1140"/>
      <c r="BH1191" s="1140"/>
      <c r="BI1191" s="1140"/>
      <c r="BJ1191" s="1140"/>
      <c r="BK1191" s="1140"/>
      <c r="BL1191" s="1140"/>
      <c r="BM1191" s="1140"/>
      <c r="BN1191" s="1140"/>
      <c r="BO1191" s="1140"/>
      <c r="BP1191" s="1140"/>
      <c r="BQ1191" s="1140"/>
      <c r="BR1191" s="1140"/>
      <c r="BS1191" s="1140"/>
      <c r="BT1191" s="1140"/>
    </row>
    <row r="1192" spans="1:72" s="1145" customFormat="1" ht="16.350000000000001" customHeight="1" outlineLevel="2">
      <c r="A1192" s="1105"/>
      <c r="B1192" s="1142"/>
      <c r="C1192" s="1130"/>
      <c r="D1192" s="1130"/>
      <c r="E1192" s="1130"/>
      <c r="F1192" s="1130"/>
      <c r="G1192" s="1130"/>
      <c r="H1192" s="1130"/>
      <c r="I1192" s="1130"/>
      <c r="J1192" s="1130"/>
      <c r="K1192" s="1130"/>
      <c r="L1192" s="1143"/>
      <c r="M1192" s="1143"/>
      <c r="N1192" s="1143"/>
      <c r="O1192" s="1143"/>
      <c r="P1192" s="1143"/>
      <c r="Q1192" s="1143"/>
      <c r="R1192" s="1110"/>
      <c r="S1192" s="1144"/>
      <c r="T1192" s="1144"/>
      <c r="U1192" s="1144"/>
      <c r="V1192" s="1144"/>
      <c r="W1192" s="1144"/>
      <c r="X1192" s="1144"/>
      <c r="Y1192" s="1144"/>
      <c r="Z1192" s="1144"/>
      <c r="AA1192" s="1144"/>
      <c r="AB1192" s="1144"/>
      <c r="AC1192" s="1144"/>
      <c r="AD1192" s="1144"/>
      <c r="AE1192" s="1144"/>
      <c r="AF1192" s="1144"/>
      <c r="AG1192" s="1144"/>
      <c r="AH1192" s="1144"/>
      <c r="AI1192" s="1144"/>
      <c r="AJ1192" s="1144"/>
      <c r="AK1192" s="1144"/>
      <c r="AL1192" s="1144"/>
      <c r="AM1192" s="1144"/>
      <c r="AN1192" s="1144"/>
      <c r="AO1192" s="1144"/>
      <c r="AP1192" s="1144"/>
      <c r="AQ1192" s="1144"/>
      <c r="AR1192" s="1144"/>
      <c r="AS1192" s="1144"/>
      <c r="AT1192" s="1144"/>
      <c r="AU1192" s="1144"/>
      <c r="AV1192" s="1144"/>
      <c r="AW1192" s="1144"/>
      <c r="AX1192" s="1144"/>
      <c r="AY1192" s="1144"/>
      <c r="AZ1192" s="1144"/>
      <c r="BA1192" s="1144"/>
      <c r="BB1192" s="1144"/>
      <c r="BC1192" s="1144"/>
      <c r="BD1192" s="1144"/>
      <c r="BE1192" s="1144"/>
      <c r="BF1192" s="1144"/>
      <c r="BG1192" s="1144"/>
      <c r="BH1192" s="1144"/>
      <c r="BI1192" s="1144"/>
      <c r="BJ1192" s="1144"/>
      <c r="BK1192" s="1144"/>
      <c r="BL1192" s="1144"/>
      <c r="BM1192" s="1144"/>
      <c r="BN1192" s="1144"/>
      <c r="BO1192" s="1144"/>
      <c r="BP1192" s="1144"/>
      <c r="BQ1192" s="1144"/>
      <c r="BR1192" s="1144"/>
      <c r="BS1192" s="1144"/>
      <c r="BT1192" s="1144"/>
    </row>
    <row r="1193" spans="1:72" s="1145" customFormat="1" ht="16.350000000000001" customHeight="1" outlineLevel="2">
      <c r="A1193" s="1105"/>
      <c r="B1193" s="1142" t="s">
        <v>845</v>
      </c>
      <c r="C1193" s="1130"/>
      <c r="D1193" s="1130">
        <v>21348435000</v>
      </c>
      <c r="E1193" s="1130">
        <v>17835186000</v>
      </c>
      <c r="F1193" s="1130">
        <v>21051765000</v>
      </c>
      <c r="G1193" s="1130">
        <f>G1180+G1188</f>
        <v>24033946000</v>
      </c>
      <c r="H1193" s="1130">
        <f>H1180+H1188</f>
        <v>22221440000</v>
      </c>
      <c r="I1193" s="1130">
        <f>I1180+I1188</f>
        <v>16454520000</v>
      </c>
      <c r="J1193" s="1130">
        <f>J1180+J1188</f>
        <v>14574593000</v>
      </c>
      <c r="K1193" s="1130">
        <f>K1180+K1188</f>
        <v>9635965000</v>
      </c>
      <c r="L1193" s="1143"/>
      <c r="M1193" s="1143"/>
      <c r="N1193" s="1143"/>
      <c r="O1193" s="1143"/>
      <c r="P1193" s="1143"/>
      <c r="Q1193" s="1143"/>
      <c r="R1193" s="1110"/>
      <c r="S1193" s="1144"/>
      <c r="T1193" s="1144"/>
      <c r="U1193" s="1144"/>
      <c r="V1193" s="1144"/>
      <c r="W1193" s="1144"/>
      <c r="X1193" s="1144"/>
      <c r="Y1193" s="1144"/>
      <c r="Z1193" s="1144"/>
      <c r="AA1193" s="1144"/>
      <c r="AB1193" s="1144"/>
      <c r="AC1193" s="1144"/>
      <c r="AD1193" s="1144"/>
      <c r="AE1193" s="1144"/>
      <c r="AF1193" s="1144"/>
      <c r="AG1193" s="1144"/>
      <c r="AH1193" s="1144"/>
      <c r="AI1193" s="1144"/>
      <c r="AJ1193" s="1144"/>
      <c r="AK1193" s="1144"/>
      <c r="AL1193" s="1144"/>
      <c r="AM1193" s="1144"/>
      <c r="AN1193" s="1144"/>
      <c r="AO1193" s="1144"/>
      <c r="AP1193" s="1144"/>
      <c r="AQ1193" s="1144"/>
      <c r="AR1193" s="1144"/>
      <c r="AS1193" s="1144"/>
      <c r="AT1193" s="1144"/>
      <c r="AU1193" s="1144"/>
      <c r="AV1193" s="1144"/>
      <c r="AW1193" s="1144"/>
      <c r="AX1193" s="1144"/>
      <c r="AY1193" s="1144"/>
      <c r="AZ1193" s="1144"/>
      <c r="BA1193" s="1144"/>
      <c r="BB1193" s="1144"/>
      <c r="BC1193" s="1144"/>
      <c r="BD1193" s="1144"/>
      <c r="BE1193" s="1144"/>
      <c r="BF1193" s="1144"/>
      <c r="BG1193" s="1144"/>
      <c r="BH1193" s="1144"/>
      <c r="BI1193" s="1144"/>
      <c r="BJ1193" s="1144"/>
      <c r="BK1193" s="1144"/>
      <c r="BL1193" s="1144"/>
      <c r="BM1193" s="1144"/>
      <c r="BN1193" s="1144"/>
      <c r="BO1193" s="1144"/>
      <c r="BP1193" s="1144"/>
      <c r="BQ1193" s="1144"/>
      <c r="BR1193" s="1144"/>
      <c r="BS1193" s="1144"/>
      <c r="BT1193" s="1144"/>
    </row>
    <row r="1194" spans="1:72" s="1145" customFormat="1" ht="16.350000000000001" customHeight="1" outlineLevel="2">
      <c r="A1194" s="1105"/>
      <c r="B1194" s="1146" t="s">
        <v>846</v>
      </c>
      <c r="C1194" s="1130"/>
      <c r="D1194" s="1130">
        <f>D1195-D1193</f>
        <v>-263959000</v>
      </c>
      <c r="E1194" s="1130">
        <f>E1195-E1193</f>
        <v>3513249000</v>
      </c>
      <c r="F1194" s="1130">
        <f t="shared" ref="F1194:K1194" si="155">F1195-F1193</f>
        <v>-3216579000</v>
      </c>
      <c r="G1194" s="1130">
        <f t="shared" si="155"/>
        <v>-2982181000</v>
      </c>
      <c r="H1194" s="1130">
        <f t="shared" si="155"/>
        <v>1812506000</v>
      </c>
      <c r="I1194" s="1130">
        <f t="shared" si="155"/>
        <v>5766920000</v>
      </c>
      <c r="J1194" s="1130">
        <f t="shared" si="155"/>
        <v>1879927000</v>
      </c>
      <c r="K1194" s="1130">
        <f t="shared" si="155"/>
        <v>4938624000</v>
      </c>
      <c r="L1194" s="1143"/>
      <c r="M1194" s="1143"/>
      <c r="N1194" s="1143"/>
      <c r="O1194" s="1143"/>
      <c r="P1194" s="1143"/>
      <c r="Q1194" s="1143"/>
      <c r="R1194" s="1110"/>
      <c r="S1194" s="1144"/>
      <c r="T1194" s="1144"/>
      <c r="U1194" s="1144"/>
      <c r="V1194" s="1144"/>
      <c r="W1194" s="1144"/>
      <c r="X1194" s="1144"/>
      <c r="Y1194" s="1144"/>
      <c r="Z1194" s="1144"/>
      <c r="AA1194" s="1144"/>
      <c r="AB1194" s="1144"/>
      <c r="AC1194" s="1144"/>
      <c r="AD1194" s="1144"/>
      <c r="AE1194" s="1144"/>
      <c r="AF1194" s="1144"/>
      <c r="AG1194" s="1144"/>
      <c r="AH1194" s="1144"/>
      <c r="AI1194" s="1144"/>
      <c r="AJ1194" s="1144"/>
      <c r="AK1194" s="1144"/>
      <c r="AL1194" s="1144"/>
      <c r="AM1194" s="1144"/>
      <c r="AN1194" s="1144"/>
      <c r="AO1194" s="1144"/>
      <c r="AP1194" s="1144"/>
      <c r="AQ1194" s="1144"/>
      <c r="AR1194" s="1144"/>
      <c r="AS1194" s="1144"/>
      <c r="AT1194" s="1144"/>
      <c r="AU1194" s="1144"/>
      <c r="AV1194" s="1144"/>
      <c r="AW1194" s="1144"/>
      <c r="AX1194" s="1144"/>
      <c r="AY1194" s="1144"/>
      <c r="AZ1194" s="1144"/>
      <c r="BA1194" s="1144"/>
      <c r="BB1194" s="1144"/>
      <c r="BC1194" s="1144"/>
      <c r="BD1194" s="1144"/>
      <c r="BE1194" s="1144"/>
      <c r="BF1194" s="1144"/>
      <c r="BG1194" s="1144"/>
      <c r="BH1194" s="1144"/>
      <c r="BI1194" s="1144"/>
      <c r="BJ1194" s="1144"/>
      <c r="BK1194" s="1144"/>
      <c r="BL1194" s="1144"/>
      <c r="BM1194" s="1144"/>
      <c r="BN1194" s="1144"/>
      <c r="BO1194" s="1144"/>
      <c r="BP1194" s="1144"/>
      <c r="BQ1194" s="1144"/>
      <c r="BR1194" s="1144"/>
      <c r="BS1194" s="1144"/>
      <c r="BT1194" s="1144"/>
    </row>
    <row r="1195" spans="1:72" s="1141" customFormat="1" ht="16.350000000000001" customHeight="1" outlineLevel="2">
      <c r="A1195" s="1105"/>
      <c r="B1195" s="1137" t="s">
        <v>847</v>
      </c>
      <c r="C1195" s="1138"/>
      <c r="D1195" s="1138">
        <v>21084476000</v>
      </c>
      <c r="E1195" s="1138">
        <v>21348435000</v>
      </c>
      <c r="F1195" s="1138">
        <v>17835186000</v>
      </c>
      <c r="G1195" s="1138">
        <f>G1186+G1191</f>
        <v>21051765000</v>
      </c>
      <c r="H1195" s="1138">
        <f>H1186+H1191</f>
        <v>24033946000</v>
      </c>
      <c r="I1195" s="1138">
        <f>I1186+I1191</f>
        <v>22221440000</v>
      </c>
      <c r="J1195" s="1138">
        <f>J1186+J1191</f>
        <v>16454520000</v>
      </c>
      <c r="K1195" s="1138">
        <f>K1186+K1191</f>
        <v>14574589000</v>
      </c>
      <c r="L1195" s="1139"/>
      <c r="M1195" s="1139"/>
      <c r="N1195" s="1139"/>
      <c r="O1195" s="1139"/>
      <c r="P1195" s="1139"/>
      <c r="Q1195" s="1139"/>
      <c r="R1195" s="1110"/>
      <c r="S1195" s="1140"/>
      <c r="T1195" s="1140"/>
      <c r="U1195" s="1140"/>
      <c r="V1195" s="1140"/>
      <c r="W1195" s="1140"/>
      <c r="X1195" s="1140"/>
      <c r="Y1195" s="1140"/>
      <c r="Z1195" s="1140"/>
      <c r="AA1195" s="1140"/>
      <c r="AB1195" s="1140"/>
      <c r="AC1195" s="1140"/>
      <c r="AD1195" s="1140"/>
      <c r="AE1195" s="1140"/>
      <c r="AF1195" s="1140"/>
      <c r="AG1195" s="1140"/>
      <c r="AH1195" s="1140"/>
      <c r="AI1195" s="1140"/>
      <c r="AJ1195" s="1140"/>
      <c r="AK1195" s="1140"/>
      <c r="AL1195" s="1140"/>
      <c r="AM1195" s="1140"/>
      <c r="AN1195" s="1140"/>
      <c r="AO1195" s="1140"/>
      <c r="AP1195" s="1140"/>
      <c r="AQ1195" s="1140"/>
      <c r="AR1195" s="1140"/>
      <c r="AS1195" s="1140"/>
      <c r="AT1195" s="1140"/>
      <c r="AU1195" s="1140"/>
      <c r="AV1195" s="1140"/>
      <c r="AW1195" s="1140"/>
      <c r="AX1195" s="1140"/>
      <c r="AY1195" s="1140"/>
      <c r="AZ1195" s="1140"/>
      <c r="BA1195" s="1140"/>
      <c r="BB1195" s="1140"/>
      <c r="BC1195" s="1140"/>
      <c r="BD1195" s="1140"/>
      <c r="BE1195" s="1140"/>
      <c r="BF1195" s="1140"/>
      <c r="BG1195" s="1140"/>
      <c r="BH1195" s="1140"/>
      <c r="BI1195" s="1140"/>
      <c r="BJ1195" s="1140"/>
      <c r="BK1195" s="1140"/>
      <c r="BL1195" s="1140"/>
      <c r="BM1195" s="1140"/>
      <c r="BN1195" s="1140"/>
      <c r="BO1195" s="1140"/>
      <c r="BP1195" s="1140"/>
      <c r="BQ1195" s="1140"/>
      <c r="BR1195" s="1140"/>
      <c r="BS1195" s="1140"/>
      <c r="BT1195" s="1140"/>
    </row>
    <row r="1196" spans="1:72" s="1152" customFormat="1" ht="16.350000000000001" customHeight="1" outlineLevel="2">
      <c r="A1196" s="1105"/>
      <c r="B1196" s="1147"/>
      <c r="C1196" s="1148"/>
      <c r="D1196" s="1148"/>
      <c r="E1196" s="1148"/>
      <c r="F1196" s="1148"/>
      <c r="G1196" s="1148"/>
      <c r="H1196" s="1149"/>
      <c r="I1196" s="1149"/>
      <c r="J1196" s="1149"/>
      <c r="K1196" s="1149"/>
      <c r="L1196" s="1150"/>
      <c r="M1196" s="1150"/>
      <c r="N1196" s="1150"/>
      <c r="O1196" s="1150"/>
      <c r="P1196" s="1151"/>
      <c r="Q1196" s="1151"/>
      <c r="R1196" s="1110"/>
    </row>
    <row r="1197" spans="1:72" s="1125" customFormat="1" ht="16.350000000000001" customHeight="1" outlineLevel="1">
      <c r="A1197" s="1105"/>
      <c r="B1197" s="1126" t="s">
        <v>850</v>
      </c>
      <c r="C1197" s="1122"/>
      <c r="D1197" s="1122">
        <v>23122566000</v>
      </c>
      <c r="E1197" s="1122">
        <v>21650557000</v>
      </c>
      <c r="F1197" s="1122">
        <v>17628645000</v>
      </c>
      <c r="G1197" s="1122">
        <f>G1214</f>
        <v>16975867000</v>
      </c>
      <c r="H1197" s="1127">
        <f>H1214</f>
        <v>21585736000</v>
      </c>
      <c r="I1197" s="1127">
        <f>I1214</f>
        <v>20068739000</v>
      </c>
      <c r="J1197" s="1127">
        <f>J1214</f>
        <v>20324682000</v>
      </c>
      <c r="K1197" s="1127">
        <f>K1214</f>
        <v>18630416000</v>
      </c>
      <c r="L1197" s="1128"/>
      <c r="M1197" s="1128"/>
      <c r="N1197" s="1128"/>
      <c r="O1197" s="1128"/>
      <c r="P1197" s="1128"/>
      <c r="Q1197" s="1128"/>
      <c r="R1197" s="1110"/>
      <c r="S1197" s="1124"/>
      <c r="T1197" s="1124"/>
      <c r="U1197" s="1124"/>
      <c r="V1197" s="1124"/>
      <c r="W1197" s="1124"/>
      <c r="X1197" s="1124"/>
      <c r="Y1197" s="1124"/>
      <c r="Z1197" s="1124"/>
      <c r="AA1197" s="1124"/>
      <c r="AB1197" s="1124"/>
      <c r="AC1197" s="1124"/>
      <c r="AD1197" s="1124"/>
      <c r="AE1197" s="1124"/>
      <c r="AF1197" s="1124"/>
      <c r="AG1197" s="1124"/>
      <c r="AH1197" s="1124"/>
      <c r="AI1197" s="1124"/>
      <c r="AJ1197" s="1124"/>
      <c r="AK1197" s="1124"/>
      <c r="AL1197" s="1124"/>
      <c r="AM1197" s="1124"/>
      <c r="AN1197" s="1124"/>
      <c r="AO1197" s="1124"/>
      <c r="AP1197" s="1124"/>
      <c r="AQ1197" s="1124"/>
      <c r="AR1197" s="1124"/>
      <c r="AS1197" s="1124"/>
      <c r="AT1197" s="1124"/>
      <c r="AU1197" s="1124"/>
      <c r="AV1197" s="1124"/>
      <c r="AW1197" s="1124"/>
      <c r="AX1197" s="1124"/>
      <c r="AY1197" s="1124"/>
      <c r="AZ1197" s="1124"/>
      <c r="BA1197" s="1124"/>
      <c r="BB1197" s="1124"/>
      <c r="BC1197" s="1124"/>
      <c r="BD1197" s="1124"/>
      <c r="BE1197" s="1124"/>
      <c r="BF1197" s="1124"/>
      <c r="BG1197" s="1124"/>
      <c r="BH1197" s="1124"/>
      <c r="BI1197" s="1124"/>
      <c r="BJ1197" s="1124"/>
      <c r="BK1197" s="1124"/>
      <c r="BL1197" s="1124"/>
      <c r="BM1197" s="1124"/>
      <c r="BN1197" s="1124"/>
      <c r="BO1197" s="1124"/>
      <c r="BP1197" s="1124"/>
      <c r="BQ1197" s="1124"/>
      <c r="BR1197" s="1124"/>
      <c r="BS1197" s="1124"/>
      <c r="BT1197" s="1124"/>
    </row>
    <row r="1198" spans="1:72" s="1125" customFormat="1" ht="16.350000000000001" customHeight="1" outlineLevel="3">
      <c r="A1198" s="1105"/>
      <c r="B1198" s="1153"/>
      <c r="C1198" s="1122"/>
      <c r="D1198" s="1122"/>
      <c r="E1198" s="1122"/>
      <c r="F1198" s="1122"/>
      <c r="G1198" s="1122"/>
      <c r="H1198" s="1127"/>
      <c r="I1198" s="1127"/>
      <c r="J1198" s="1127"/>
      <c r="K1198" s="1127"/>
      <c r="L1198" s="1128"/>
      <c r="M1198" s="1128"/>
      <c r="N1198" s="1128"/>
      <c r="O1198" s="1128"/>
      <c r="P1198" s="1128"/>
      <c r="Q1198" s="1128"/>
      <c r="R1198" s="1110"/>
      <c r="S1198" s="1124"/>
      <c r="T1198" s="1124"/>
      <c r="U1198" s="1124"/>
      <c r="V1198" s="1124"/>
      <c r="W1198" s="1124"/>
      <c r="X1198" s="1124"/>
      <c r="Y1198" s="1124"/>
      <c r="Z1198" s="1124"/>
      <c r="AA1198" s="1124"/>
      <c r="AB1198" s="1124"/>
      <c r="AC1198" s="1124"/>
      <c r="AD1198" s="1124"/>
      <c r="AE1198" s="1124"/>
      <c r="AF1198" s="1124"/>
      <c r="AG1198" s="1124"/>
      <c r="AH1198" s="1124"/>
      <c r="AI1198" s="1124"/>
      <c r="AJ1198" s="1124"/>
      <c r="AK1198" s="1124"/>
      <c r="AL1198" s="1124"/>
      <c r="AM1198" s="1124"/>
      <c r="AN1198" s="1124"/>
      <c r="AO1198" s="1124"/>
      <c r="AP1198" s="1124"/>
      <c r="AQ1198" s="1124"/>
      <c r="AR1198" s="1124"/>
      <c r="AS1198" s="1124"/>
      <c r="AT1198" s="1124"/>
      <c r="AU1198" s="1124"/>
      <c r="AV1198" s="1124"/>
      <c r="AW1198" s="1124"/>
      <c r="AX1198" s="1124"/>
      <c r="AY1198" s="1124"/>
      <c r="AZ1198" s="1124"/>
      <c r="BA1198" s="1124"/>
      <c r="BB1198" s="1124"/>
      <c r="BC1198" s="1124"/>
      <c r="BD1198" s="1124"/>
      <c r="BE1198" s="1124"/>
      <c r="BF1198" s="1124"/>
      <c r="BG1198" s="1124"/>
      <c r="BH1198" s="1124"/>
      <c r="BI1198" s="1124"/>
      <c r="BJ1198" s="1124"/>
      <c r="BK1198" s="1124"/>
      <c r="BL1198" s="1124"/>
      <c r="BM1198" s="1124"/>
      <c r="BN1198" s="1124"/>
      <c r="BO1198" s="1124"/>
      <c r="BP1198" s="1124"/>
      <c r="BQ1198" s="1124"/>
      <c r="BR1198" s="1124"/>
      <c r="BS1198" s="1124"/>
      <c r="BT1198" s="1124"/>
    </row>
    <row r="1199" spans="1:72" s="1145" customFormat="1" ht="16.350000000000001" customHeight="1" outlineLevel="3">
      <c r="A1199" s="1105"/>
      <c r="B1199" s="1154" t="s">
        <v>838</v>
      </c>
      <c r="C1199" s="1130"/>
      <c r="D1199" s="1130">
        <v>21650557000</v>
      </c>
      <c r="E1199" s="1130">
        <v>17628645000</v>
      </c>
      <c r="F1199" s="1130">
        <v>16976867000</v>
      </c>
      <c r="G1199" s="1130">
        <f>H1205</f>
        <v>21585736000</v>
      </c>
      <c r="H1199" s="1130">
        <f>I1205</f>
        <v>20068739000</v>
      </c>
      <c r="I1199" s="1130">
        <f>J1205</f>
        <v>20324682000</v>
      </c>
      <c r="J1199" s="1130">
        <v>18630416000</v>
      </c>
      <c r="K1199" s="1130">
        <v>13433257000</v>
      </c>
      <c r="L1199" s="1143"/>
      <c r="M1199" s="1143"/>
      <c r="N1199" s="1143"/>
      <c r="O1199" s="1143"/>
      <c r="P1199" s="1143"/>
      <c r="Q1199" s="1143"/>
      <c r="R1199" s="1110"/>
      <c r="S1199" s="1144"/>
      <c r="T1199" s="1144"/>
      <c r="U1199" s="1144"/>
      <c r="V1199" s="1144"/>
      <c r="W1199" s="1144"/>
      <c r="X1199" s="1144"/>
      <c r="Y1199" s="1144"/>
      <c r="Z1199" s="1144"/>
      <c r="AA1199" s="1144"/>
      <c r="AB1199" s="1144"/>
      <c r="AC1199" s="1144"/>
      <c r="AD1199" s="1144"/>
      <c r="AE1199" s="1144"/>
      <c r="AF1199" s="1144"/>
      <c r="AG1199" s="1144"/>
      <c r="AH1199" s="1144"/>
      <c r="AI1199" s="1144"/>
      <c r="AJ1199" s="1144"/>
      <c r="AK1199" s="1144"/>
      <c r="AL1199" s="1144"/>
      <c r="AM1199" s="1144"/>
      <c r="AN1199" s="1144"/>
      <c r="AO1199" s="1144"/>
      <c r="AP1199" s="1144"/>
      <c r="AQ1199" s="1144"/>
      <c r="AR1199" s="1144"/>
      <c r="AS1199" s="1144"/>
      <c r="AT1199" s="1144"/>
      <c r="AU1199" s="1144"/>
      <c r="AV1199" s="1144"/>
      <c r="AW1199" s="1144"/>
      <c r="AX1199" s="1144"/>
      <c r="AY1199" s="1144"/>
      <c r="AZ1199" s="1144"/>
      <c r="BA1199" s="1144"/>
      <c r="BB1199" s="1144"/>
      <c r="BC1199" s="1144"/>
      <c r="BD1199" s="1144"/>
      <c r="BE1199" s="1144"/>
      <c r="BF1199" s="1144"/>
      <c r="BG1199" s="1144"/>
      <c r="BH1199" s="1144"/>
      <c r="BI1199" s="1144"/>
      <c r="BJ1199" s="1144"/>
      <c r="BK1199" s="1144"/>
      <c r="BL1199" s="1144"/>
      <c r="BM1199" s="1144"/>
      <c r="BN1199" s="1144"/>
      <c r="BO1199" s="1144"/>
      <c r="BP1199" s="1144"/>
      <c r="BQ1199" s="1144"/>
      <c r="BR1199" s="1144"/>
      <c r="BS1199" s="1144"/>
      <c r="BT1199" s="1144"/>
    </row>
    <row r="1200" spans="1:72" s="450" customFormat="1" ht="16.350000000000001" customHeight="1" outlineLevel="3">
      <c r="A1200" s="1105"/>
      <c r="B1200" s="1155" t="s">
        <v>839</v>
      </c>
      <c r="C1200" s="1130"/>
      <c r="D1200" s="1130">
        <v>9358000</v>
      </c>
      <c r="E1200" s="1130"/>
      <c r="F1200" s="1130"/>
      <c r="G1200" s="1130"/>
      <c r="H1200" s="1130"/>
      <c r="I1200" s="1130"/>
      <c r="J1200" s="1130"/>
      <c r="K1200" s="1130"/>
      <c r="L1200" s="1134"/>
      <c r="M1200" s="1134"/>
      <c r="N1200" s="1134"/>
      <c r="O1200" s="1134"/>
      <c r="P1200" s="1134"/>
      <c r="Q1200" s="1134"/>
      <c r="R1200" s="1110"/>
      <c r="S1200" s="1135"/>
      <c r="T1200" s="1135"/>
      <c r="U1200" s="1135"/>
      <c r="V1200" s="1135"/>
      <c r="W1200" s="1135"/>
      <c r="X1200" s="1135"/>
      <c r="Y1200" s="1135"/>
      <c r="Z1200" s="1135"/>
      <c r="AA1200" s="1135"/>
      <c r="AB1200" s="1135"/>
      <c r="AC1200" s="1135"/>
      <c r="AD1200" s="1135"/>
      <c r="AE1200" s="1135"/>
      <c r="AF1200" s="1135"/>
      <c r="AG1200" s="1135"/>
      <c r="AH1200" s="1135"/>
      <c r="AI1200" s="1135"/>
      <c r="AJ1200" s="1135"/>
      <c r="AK1200" s="1135"/>
      <c r="AL1200" s="1135"/>
      <c r="AM1200" s="1135"/>
      <c r="AN1200" s="1135"/>
      <c r="AO1200" s="1135"/>
      <c r="AP1200" s="1135"/>
      <c r="AQ1200" s="1135"/>
      <c r="AR1200" s="1135"/>
      <c r="AS1200" s="1135"/>
      <c r="AT1200" s="1135"/>
      <c r="AU1200" s="1135"/>
      <c r="AV1200" s="1135"/>
      <c r="AW1200" s="1135"/>
      <c r="AX1200" s="1135"/>
      <c r="AY1200" s="1135"/>
      <c r="AZ1200" s="1135"/>
      <c r="BA1200" s="1135"/>
      <c r="BB1200" s="1135"/>
      <c r="BC1200" s="1135"/>
      <c r="BD1200" s="1135"/>
      <c r="BE1200" s="1135"/>
      <c r="BF1200" s="1135"/>
      <c r="BG1200" s="1135"/>
      <c r="BH1200" s="1135"/>
      <c r="BI1200" s="1135"/>
      <c r="BJ1200" s="1135"/>
      <c r="BK1200" s="1135"/>
      <c r="BL1200" s="1135"/>
      <c r="BM1200" s="1135"/>
      <c r="BN1200" s="1135"/>
      <c r="BO1200" s="1135"/>
      <c r="BP1200" s="1135"/>
      <c r="BQ1200" s="1135"/>
      <c r="BR1200" s="1135"/>
      <c r="BS1200" s="1135"/>
      <c r="BT1200" s="1135"/>
    </row>
    <row r="1201" spans="1:72" s="450" customFormat="1" ht="16.350000000000001" customHeight="1" outlineLevel="3">
      <c r="A1201" s="1105"/>
      <c r="B1201" s="1155" t="s">
        <v>53</v>
      </c>
      <c r="C1201" s="1130"/>
      <c r="D1201" s="1130">
        <v>31261392000</v>
      </c>
      <c r="E1201" s="1130">
        <v>44253522000</v>
      </c>
      <c r="F1201" s="1130">
        <v>31694123000</v>
      </c>
      <c r="G1201" s="1130">
        <v>36242440000</v>
      </c>
      <c r="H1201" s="1130">
        <v>36315299000</v>
      </c>
      <c r="I1201" s="1130">
        <v>28887505000</v>
      </c>
      <c r="J1201" s="1130">
        <v>31729151000</v>
      </c>
      <c r="K1201" s="1130">
        <v>30141147000</v>
      </c>
      <c r="L1201" s="1134"/>
      <c r="M1201" s="1134"/>
      <c r="N1201" s="1134"/>
      <c r="O1201" s="1134"/>
      <c r="P1201" s="1134"/>
      <c r="Q1201" s="1134"/>
      <c r="R1201" s="1110"/>
      <c r="S1201" s="1135"/>
      <c r="T1201" s="1135"/>
      <c r="U1201" s="1135"/>
      <c r="V1201" s="1135"/>
      <c r="W1201" s="1135"/>
      <c r="X1201" s="1135"/>
      <c r="Y1201" s="1135"/>
      <c r="Z1201" s="1135"/>
      <c r="AA1201" s="1135"/>
      <c r="AB1201" s="1135"/>
      <c r="AC1201" s="1135"/>
      <c r="AD1201" s="1135"/>
      <c r="AE1201" s="1135"/>
      <c r="AF1201" s="1135"/>
      <c r="AG1201" s="1135"/>
      <c r="AH1201" s="1135"/>
      <c r="AI1201" s="1135"/>
      <c r="AJ1201" s="1135"/>
      <c r="AK1201" s="1135"/>
      <c r="AL1201" s="1135"/>
      <c r="AM1201" s="1135"/>
      <c r="AN1201" s="1135"/>
      <c r="AO1201" s="1135"/>
      <c r="AP1201" s="1135"/>
      <c r="AQ1201" s="1135"/>
      <c r="AR1201" s="1135"/>
      <c r="AS1201" s="1135"/>
      <c r="AT1201" s="1135"/>
      <c r="AU1201" s="1135"/>
      <c r="AV1201" s="1135"/>
      <c r="AW1201" s="1135"/>
      <c r="AX1201" s="1135"/>
      <c r="AY1201" s="1135"/>
      <c r="AZ1201" s="1135"/>
      <c r="BA1201" s="1135"/>
      <c r="BB1201" s="1135"/>
      <c r="BC1201" s="1135"/>
      <c r="BD1201" s="1135"/>
      <c r="BE1201" s="1135"/>
      <c r="BF1201" s="1135"/>
      <c r="BG1201" s="1135"/>
      <c r="BH1201" s="1135"/>
      <c r="BI1201" s="1135"/>
      <c r="BJ1201" s="1135"/>
      <c r="BK1201" s="1135"/>
      <c r="BL1201" s="1135"/>
      <c r="BM1201" s="1135"/>
      <c r="BN1201" s="1135"/>
      <c r="BO1201" s="1135"/>
      <c r="BP1201" s="1135"/>
      <c r="BQ1201" s="1135"/>
      <c r="BR1201" s="1135"/>
      <c r="BS1201" s="1135"/>
      <c r="BT1201" s="1135"/>
    </row>
    <row r="1202" spans="1:72" s="450" customFormat="1" ht="16.350000000000001" customHeight="1" outlineLevel="3">
      <c r="A1202" s="1105"/>
      <c r="B1202" s="1155" t="s">
        <v>840</v>
      </c>
      <c r="C1202" s="1130"/>
      <c r="D1202" s="1130"/>
      <c r="E1202" s="1130">
        <v>0</v>
      </c>
      <c r="F1202" s="1130">
        <v>0</v>
      </c>
      <c r="G1202" s="1130">
        <v>0</v>
      </c>
      <c r="H1202" s="1130">
        <v>0</v>
      </c>
      <c r="I1202" s="1130">
        <v>3318000</v>
      </c>
      <c r="J1202" s="1130">
        <v>0</v>
      </c>
      <c r="K1202" s="1130">
        <v>0</v>
      </c>
      <c r="L1202" s="1134"/>
      <c r="M1202" s="1134"/>
      <c r="N1202" s="1134"/>
      <c r="O1202" s="1134"/>
      <c r="P1202" s="1134"/>
      <c r="Q1202" s="1134"/>
      <c r="R1202" s="1110"/>
      <c r="S1202" s="1135"/>
      <c r="T1202" s="1135"/>
      <c r="U1202" s="1135"/>
      <c r="V1202" s="1135"/>
      <c r="W1202" s="1135"/>
      <c r="X1202" s="1135"/>
      <c r="Y1202" s="1135"/>
      <c r="Z1202" s="1135"/>
      <c r="AA1202" s="1135"/>
      <c r="AB1202" s="1135"/>
      <c r="AC1202" s="1135"/>
      <c r="AD1202" s="1135"/>
      <c r="AE1202" s="1135"/>
      <c r="AF1202" s="1135"/>
      <c r="AG1202" s="1135"/>
      <c r="AH1202" s="1135"/>
      <c r="AI1202" s="1135"/>
      <c r="AJ1202" s="1135"/>
      <c r="AK1202" s="1135"/>
      <c r="AL1202" s="1135"/>
      <c r="AM1202" s="1135"/>
      <c r="AN1202" s="1135"/>
      <c r="AO1202" s="1135"/>
      <c r="AP1202" s="1135"/>
      <c r="AQ1202" s="1135"/>
      <c r="AR1202" s="1135"/>
      <c r="AS1202" s="1135"/>
      <c r="AT1202" s="1135"/>
      <c r="AU1202" s="1135"/>
      <c r="AV1202" s="1135"/>
      <c r="AW1202" s="1135"/>
      <c r="AX1202" s="1135"/>
      <c r="AY1202" s="1135"/>
      <c r="AZ1202" s="1135"/>
      <c r="BA1202" s="1135"/>
      <c r="BB1202" s="1135"/>
      <c r="BC1202" s="1135"/>
      <c r="BD1202" s="1135"/>
      <c r="BE1202" s="1135"/>
      <c r="BF1202" s="1135"/>
      <c r="BG1202" s="1135"/>
      <c r="BH1202" s="1135"/>
      <c r="BI1202" s="1135"/>
      <c r="BJ1202" s="1135"/>
      <c r="BK1202" s="1135"/>
      <c r="BL1202" s="1135"/>
      <c r="BM1202" s="1135"/>
      <c r="BN1202" s="1135"/>
      <c r="BO1202" s="1135"/>
      <c r="BP1202" s="1135"/>
      <c r="BQ1202" s="1135"/>
      <c r="BR1202" s="1135"/>
      <c r="BS1202" s="1135"/>
      <c r="BT1202" s="1135"/>
    </row>
    <row r="1203" spans="1:72" s="450" customFormat="1" ht="16.350000000000001" customHeight="1" outlineLevel="3">
      <c r="A1203" s="1105"/>
      <c r="B1203" s="1155" t="s">
        <v>93</v>
      </c>
      <c r="C1203" s="1130"/>
      <c r="D1203" s="1130">
        <v>-29472659000</v>
      </c>
      <c r="E1203" s="1130">
        <v>-40036277000</v>
      </c>
      <c r="F1203" s="1130">
        <v>-30922243000</v>
      </c>
      <c r="G1203" s="1130">
        <v>-40760145000</v>
      </c>
      <c r="H1203" s="1130">
        <v>-34698216000</v>
      </c>
      <c r="I1203" s="1130">
        <v>-29057656000</v>
      </c>
      <c r="J1203" s="1130">
        <v>-29916785000</v>
      </c>
      <c r="K1203" s="1130">
        <v>-24825341000</v>
      </c>
      <c r="L1203" s="1134"/>
      <c r="M1203" s="1134"/>
      <c r="N1203" s="1134"/>
      <c r="O1203" s="1134"/>
      <c r="P1203" s="1134"/>
      <c r="Q1203" s="1134"/>
      <c r="R1203" s="1110"/>
      <c r="S1203" s="1135"/>
      <c r="T1203" s="1135"/>
      <c r="U1203" s="1135"/>
      <c r="V1203" s="1135"/>
      <c r="W1203" s="1135"/>
      <c r="X1203" s="1135"/>
      <c r="Y1203" s="1135"/>
      <c r="Z1203" s="1135"/>
      <c r="AA1203" s="1135"/>
      <c r="AB1203" s="1135"/>
      <c r="AC1203" s="1135"/>
      <c r="AD1203" s="1135"/>
      <c r="AE1203" s="1135"/>
      <c r="AF1203" s="1135"/>
      <c r="AG1203" s="1135"/>
      <c r="AH1203" s="1135"/>
      <c r="AI1203" s="1135"/>
      <c r="AJ1203" s="1135"/>
      <c r="AK1203" s="1135"/>
      <c r="AL1203" s="1135"/>
      <c r="AM1203" s="1135"/>
      <c r="AN1203" s="1135"/>
      <c r="AO1203" s="1135"/>
      <c r="AP1203" s="1135"/>
      <c r="AQ1203" s="1135"/>
      <c r="AR1203" s="1135"/>
      <c r="AS1203" s="1135"/>
      <c r="AT1203" s="1135"/>
      <c r="AU1203" s="1135"/>
      <c r="AV1203" s="1135"/>
      <c r="AW1203" s="1135"/>
      <c r="AX1203" s="1135"/>
      <c r="AY1203" s="1135"/>
      <c r="AZ1203" s="1135"/>
      <c r="BA1203" s="1135"/>
      <c r="BB1203" s="1135"/>
      <c r="BC1203" s="1135"/>
      <c r="BD1203" s="1135"/>
      <c r="BE1203" s="1135"/>
      <c r="BF1203" s="1135"/>
      <c r="BG1203" s="1135"/>
      <c r="BH1203" s="1135"/>
      <c r="BI1203" s="1135"/>
      <c r="BJ1203" s="1135"/>
      <c r="BK1203" s="1135"/>
      <c r="BL1203" s="1135"/>
      <c r="BM1203" s="1135"/>
      <c r="BN1203" s="1135"/>
      <c r="BO1203" s="1135"/>
      <c r="BP1203" s="1135"/>
      <c r="BQ1203" s="1135"/>
      <c r="BR1203" s="1135"/>
      <c r="BS1203" s="1135"/>
      <c r="BT1203" s="1135"/>
    </row>
    <row r="1204" spans="1:72" s="450" customFormat="1" ht="16.350000000000001" customHeight="1" outlineLevel="3">
      <c r="A1204" s="1105"/>
      <c r="B1204" s="1155" t="s">
        <v>54</v>
      </c>
      <c r="C1204" s="1130"/>
      <c r="D1204" s="1130">
        <v>-326082000</v>
      </c>
      <c r="E1204" s="1130">
        <v>-195333000</v>
      </c>
      <c r="F1204" s="1130">
        <v>-119102000</v>
      </c>
      <c r="G1204" s="1130">
        <v>-92164000</v>
      </c>
      <c r="H1204" s="1130">
        <v>-100086000</v>
      </c>
      <c r="I1204" s="1130">
        <v>-89110000</v>
      </c>
      <c r="J1204" s="1130">
        <v>-118100000</v>
      </c>
      <c r="K1204" s="1130">
        <v>-118647000</v>
      </c>
      <c r="L1204" s="1134"/>
      <c r="M1204" s="1134"/>
      <c r="N1204" s="1134"/>
      <c r="O1204" s="1134"/>
      <c r="P1204" s="1134"/>
      <c r="Q1204" s="1134"/>
      <c r="R1204" s="1110"/>
      <c r="S1204" s="1135"/>
      <c r="T1204" s="1135"/>
      <c r="U1204" s="1135"/>
      <c r="V1204" s="1135"/>
      <c r="W1204" s="1135"/>
      <c r="X1204" s="1135"/>
      <c r="Y1204" s="1135"/>
      <c r="Z1204" s="1135"/>
      <c r="AA1204" s="1135"/>
      <c r="AB1204" s="1135"/>
      <c r="AC1204" s="1135"/>
      <c r="AD1204" s="1135"/>
      <c r="AE1204" s="1135"/>
      <c r="AF1204" s="1135"/>
      <c r="AG1204" s="1135"/>
      <c r="AH1204" s="1135"/>
      <c r="AI1204" s="1135"/>
      <c r="AJ1204" s="1135"/>
      <c r="AK1204" s="1135"/>
      <c r="AL1204" s="1135"/>
      <c r="AM1204" s="1135"/>
      <c r="AN1204" s="1135"/>
      <c r="AO1204" s="1135"/>
      <c r="AP1204" s="1135"/>
      <c r="AQ1204" s="1135"/>
      <c r="AR1204" s="1135"/>
      <c r="AS1204" s="1135"/>
      <c r="AT1204" s="1135"/>
      <c r="AU1204" s="1135"/>
      <c r="AV1204" s="1135"/>
      <c r="AW1204" s="1135"/>
      <c r="AX1204" s="1135"/>
      <c r="AY1204" s="1135"/>
      <c r="AZ1204" s="1135"/>
      <c r="BA1204" s="1135"/>
      <c r="BB1204" s="1135"/>
      <c r="BC1204" s="1135"/>
      <c r="BD1204" s="1135"/>
      <c r="BE1204" s="1135"/>
      <c r="BF1204" s="1135"/>
      <c r="BG1204" s="1135"/>
      <c r="BH1204" s="1135"/>
      <c r="BI1204" s="1135"/>
      <c r="BJ1204" s="1135"/>
      <c r="BK1204" s="1135"/>
      <c r="BL1204" s="1135"/>
      <c r="BM1204" s="1135"/>
      <c r="BN1204" s="1135"/>
      <c r="BO1204" s="1135"/>
      <c r="BP1204" s="1135"/>
      <c r="BQ1204" s="1135"/>
      <c r="BR1204" s="1135"/>
      <c r="BS1204" s="1135"/>
      <c r="BT1204" s="1135"/>
    </row>
    <row r="1205" spans="1:72" s="1141" customFormat="1" ht="16.350000000000001" customHeight="1" outlineLevel="3">
      <c r="A1205" s="1105"/>
      <c r="B1205" s="1156" t="s">
        <v>842</v>
      </c>
      <c r="C1205" s="1138"/>
      <c r="D1205" s="1138">
        <v>23122566000</v>
      </c>
      <c r="E1205" s="1138">
        <v>21650557000</v>
      </c>
      <c r="F1205" s="1138">
        <v>17628645000</v>
      </c>
      <c r="G1205" s="1138">
        <f>G1199+G1201+G1202+G1203+G1204</f>
        <v>16975867000</v>
      </c>
      <c r="H1205" s="1138">
        <f>H1199+H1201+H1202+H1203+H1204</f>
        <v>21585736000</v>
      </c>
      <c r="I1205" s="1138">
        <f>I1199+I1201+I1202+I1203+I1204</f>
        <v>20068739000</v>
      </c>
      <c r="J1205" s="1138">
        <f>J1199+J1201+J1202+J1203+J1204</f>
        <v>20324682000</v>
      </c>
      <c r="K1205" s="1138">
        <f>K1199+K1201+K1202+K1203+K1204</f>
        <v>18630416000</v>
      </c>
      <c r="L1205" s="1139"/>
      <c r="M1205" s="1139"/>
      <c r="N1205" s="1139"/>
      <c r="O1205" s="1139"/>
      <c r="P1205" s="1139"/>
      <c r="Q1205" s="1139"/>
      <c r="R1205" s="1110"/>
      <c r="S1205" s="1140"/>
      <c r="T1205" s="1140"/>
      <c r="U1205" s="1140"/>
      <c r="V1205" s="1140"/>
      <c r="W1205" s="1140"/>
      <c r="X1205" s="1140"/>
      <c r="Y1205" s="1140"/>
      <c r="Z1205" s="1140"/>
      <c r="AA1205" s="1140"/>
      <c r="AB1205" s="1140"/>
      <c r="AC1205" s="1140"/>
      <c r="AD1205" s="1140"/>
      <c r="AE1205" s="1140"/>
      <c r="AF1205" s="1140"/>
      <c r="AG1205" s="1140"/>
      <c r="AH1205" s="1140"/>
      <c r="AI1205" s="1140"/>
      <c r="AJ1205" s="1140"/>
      <c r="AK1205" s="1140"/>
      <c r="AL1205" s="1140"/>
      <c r="AM1205" s="1140"/>
      <c r="AN1205" s="1140"/>
      <c r="AO1205" s="1140"/>
      <c r="AP1205" s="1140"/>
      <c r="AQ1205" s="1140"/>
      <c r="AR1205" s="1140"/>
      <c r="AS1205" s="1140"/>
      <c r="AT1205" s="1140"/>
      <c r="AU1205" s="1140"/>
      <c r="AV1205" s="1140"/>
      <c r="AW1205" s="1140"/>
      <c r="AX1205" s="1140"/>
      <c r="AY1205" s="1140"/>
      <c r="AZ1205" s="1140"/>
      <c r="BA1205" s="1140"/>
      <c r="BB1205" s="1140"/>
      <c r="BC1205" s="1140"/>
      <c r="BD1205" s="1140"/>
      <c r="BE1205" s="1140"/>
      <c r="BF1205" s="1140"/>
      <c r="BG1205" s="1140"/>
      <c r="BH1205" s="1140"/>
      <c r="BI1205" s="1140"/>
      <c r="BJ1205" s="1140"/>
      <c r="BK1205" s="1140"/>
      <c r="BL1205" s="1140"/>
      <c r="BM1205" s="1140"/>
      <c r="BN1205" s="1140"/>
      <c r="BO1205" s="1140"/>
      <c r="BP1205" s="1140"/>
      <c r="BQ1205" s="1140"/>
      <c r="BR1205" s="1140"/>
      <c r="BS1205" s="1140"/>
      <c r="BT1205" s="1140"/>
    </row>
    <row r="1206" spans="1:72" s="1145" customFormat="1" ht="16.350000000000001" customHeight="1" outlineLevel="3">
      <c r="A1206" s="1105"/>
      <c r="B1206" s="1154"/>
      <c r="C1206" s="1130"/>
      <c r="D1206" s="1130"/>
      <c r="E1206" s="1130"/>
      <c r="F1206" s="1130"/>
      <c r="G1206" s="1130"/>
      <c r="H1206" s="1130"/>
      <c r="I1206" s="1130"/>
      <c r="J1206" s="1130"/>
      <c r="K1206" s="1130"/>
      <c r="L1206" s="1143"/>
      <c r="M1206" s="1143"/>
      <c r="N1206" s="1143"/>
      <c r="O1206" s="1143"/>
      <c r="P1206" s="1143"/>
      <c r="Q1206" s="1143"/>
      <c r="R1206" s="1110"/>
      <c r="S1206" s="1144"/>
      <c r="T1206" s="1144"/>
      <c r="U1206" s="1144"/>
      <c r="V1206" s="1144"/>
      <c r="W1206" s="1144"/>
      <c r="X1206" s="1144"/>
      <c r="Y1206" s="1144"/>
      <c r="Z1206" s="1144"/>
      <c r="AA1206" s="1144"/>
      <c r="AB1206" s="1144"/>
      <c r="AC1206" s="1144"/>
      <c r="AD1206" s="1144"/>
      <c r="AE1206" s="1144"/>
      <c r="AF1206" s="1144"/>
      <c r="AG1206" s="1144"/>
      <c r="AH1206" s="1144"/>
      <c r="AI1206" s="1144"/>
      <c r="AJ1206" s="1144"/>
      <c r="AK1206" s="1144"/>
      <c r="AL1206" s="1144"/>
      <c r="AM1206" s="1144"/>
      <c r="AN1206" s="1144"/>
      <c r="AO1206" s="1144"/>
      <c r="AP1206" s="1144"/>
      <c r="AQ1206" s="1144"/>
      <c r="AR1206" s="1144"/>
      <c r="AS1206" s="1144"/>
      <c r="AT1206" s="1144"/>
      <c r="AU1206" s="1144"/>
      <c r="AV1206" s="1144"/>
      <c r="AW1206" s="1144"/>
      <c r="AX1206" s="1144"/>
      <c r="AY1206" s="1144"/>
      <c r="AZ1206" s="1144"/>
      <c r="BA1206" s="1144"/>
      <c r="BB1206" s="1144"/>
      <c r="BC1206" s="1144"/>
      <c r="BD1206" s="1144"/>
      <c r="BE1206" s="1144"/>
      <c r="BF1206" s="1144"/>
      <c r="BG1206" s="1144"/>
      <c r="BH1206" s="1144"/>
      <c r="BI1206" s="1144"/>
      <c r="BJ1206" s="1144"/>
      <c r="BK1206" s="1144"/>
      <c r="BL1206" s="1144"/>
      <c r="BM1206" s="1144"/>
      <c r="BN1206" s="1144"/>
      <c r="BO1206" s="1144"/>
      <c r="BP1206" s="1144"/>
      <c r="BQ1206" s="1144"/>
      <c r="BR1206" s="1144"/>
      <c r="BS1206" s="1144"/>
      <c r="BT1206" s="1144"/>
    </row>
    <row r="1207" spans="1:72" s="1145" customFormat="1" ht="16.350000000000001" customHeight="1" outlineLevel="3">
      <c r="A1207" s="1105"/>
      <c r="B1207" s="1154" t="s">
        <v>843</v>
      </c>
      <c r="C1207" s="1130"/>
      <c r="D1207" s="1130"/>
      <c r="E1207" s="1130">
        <v>0</v>
      </c>
      <c r="F1207" s="1130">
        <v>0</v>
      </c>
      <c r="G1207" s="1130">
        <f>H1210</f>
        <v>0</v>
      </c>
      <c r="H1207" s="1130">
        <v>0</v>
      </c>
      <c r="I1207" s="1130">
        <v>0</v>
      </c>
      <c r="J1207" s="1130">
        <v>0</v>
      </c>
      <c r="K1207" s="1130">
        <v>0</v>
      </c>
      <c r="L1207" s="1143"/>
      <c r="M1207" s="1143"/>
      <c r="N1207" s="1143"/>
      <c r="O1207" s="1143"/>
      <c r="P1207" s="1143"/>
      <c r="Q1207" s="1143"/>
      <c r="R1207" s="1110"/>
      <c r="S1207" s="1144"/>
      <c r="T1207" s="1144"/>
      <c r="U1207" s="1144"/>
      <c r="V1207" s="1144"/>
      <c r="W1207" s="1144"/>
      <c r="X1207" s="1144"/>
      <c r="Y1207" s="1144"/>
      <c r="Z1207" s="1144"/>
      <c r="AA1207" s="1144"/>
      <c r="AB1207" s="1144"/>
      <c r="AC1207" s="1144"/>
      <c r="AD1207" s="1144"/>
      <c r="AE1207" s="1144"/>
      <c r="AF1207" s="1144"/>
      <c r="AG1207" s="1144"/>
      <c r="AH1207" s="1144"/>
      <c r="AI1207" s="1144"/>
      <c r="AJ1207" s="1144"/>
      <c r="AK1207" s="1144"/>
      <c r="AL1207" s="1144"/>
      <c r="AM1207" s="1144"/>
      <c r="AN1207" s="1144"/>
      <c r="AO1207" s="1144"/>
      <c r="AP1207" s="1144"/>
      <c r="AQ1207" s="1144"/>
      <c r="AR1207" s="1144"/>
      <c r="AS1207" s="1144"/>
      <c r="AT1207" s="1144"/>
      <c r="AU1207" s="1144"/>
      <c r="AV1207" s="1144"/>
      <c r="AW1207" s="1144"/>
      <c r="AX1207" s="1144"/>
      <c r="AY1207" s="1144"/>
      <c r="AZ1207" s="1144"/>
      <c r="BA1207" s="1144"/>
      <c r="BB1207" s="1144"/>
      <c r="BC1207" s="1144"/>
      <c r="BD1207" s="1144"/>
      <c r="BE1207" s="1144"/>
      <c r="BF1207" s="1144"/>
      <c r="BG1207" s="1144"/>
      <c r="BH1207" s="1144"/>
      <c r="BI1207" s="1144"/>
      <c r="BJ1207" s="1144"/>
      <c r="BK1207" s="1144"/>
      <c r="BL1207" s="1144"/>
      <c r="BM1207" s="1144"/>
      <c r="BN1207" s="1144"/>
      <c r="BO1207" s="1144"/>
      <c r="BP1207" s="1144"/>
      <c r="BQ1207" s="1144"/>
      <c r="BR1207" s="1144"/>
      <c r="BS1207" s="1144"/>
      <c r="BT1207" s="1144"/>
    </row>
    <row r="1208" spans="1:72" s="450" customFormat="1" ht="16.350000000000001" customHeight="1" outlineLevel="3">
      <c r="A1208" s="1105"/>
      <c r="B1208" s="1155" t="s">
        <v>94</v>
      </c>
      <c r="C1208" s="1130"/>
      <c r="D1208" s="1130"/>
      <c r="E1208" s="1130">
        <v>0</v>
      </c>
      <c r="F1208" s="1130">
        <v>0</v>
      </c>
      <c r="G1208" s="1130">
        <v>0</v>
      </c>
      <c r="H1208" s="1130">
        <v>0</v>
      </c>
      <c r="I1208" s="1130">
        <v>0</v>
      </c>
      <c r="J1208" s="1130">
        <v>0</v>
      </c>
      <c r="K1208" s="1130">
        <v>0</v>
      </c>
      <c r="L1208" s="1134"/>
      <c r="M1208" s="1134"/>
      <c r="N1208" s="1134"/>
      <c r="O1208" s="1134"/>
      <c r="P1208" s="1134"/>
      <c r="Q1208" s="1134"/>
      <c r="R1208" s="1110"/>
      <c r="S1208" s="1135"/>
      <c r="T1208" s="1135"/>
      <c r="U1208" s="1135"/>
      <c r="V1208" s="1135"/>
      <c r="W1208" s="1135"/>
      <c r="X1208" s="1135"/>
      <c r="Y1208" s="1135"/>
      <c r="Z1208" s="1135"/>
      <c r="AA1208" s="1135"/>
      <c r="AB1208" s="1135"/>
      <c r="AC1208" s="1135"/>
      <c r="AD1208" s="1135"/>
      <c r="AE1208" s="1135"/>
      <c r="AF1208" s="1135"/>
      <c r="AG1208" s="1135"/>
      <c r="AH1208" s="1135"/>
      <c r="AI1208" s="1135"/>
      <c r="AJ1208" s="1135"/>
      <c r="AK1208" s="1135"/>
      <c r="AL1208" s="1135"/>
      <c r="AM1208" s="1135"/>
      <c r="AN1208" s="1135"/>
      <c r="AO1208" s="1135"/>
      <c r="AP1208" s="1135"/>
      <c r="AQ1208" s="1135"/>
      <c r="AR1208" s="1135"/>
      <c r="AS1208" s="1135"/>
      <c r="AT1208" s="1135"/>
      <c r="AU1208" s="1135"/>
      <c r="AV1208" s="1135"/>
      <c r="AW1208" s="1135"/>
      <c r="AX1208" s="1135"/>
      <c r="AY1208" s="1135"/>
      <c r="AZ1208" s="1135"/>
      <c r="BA1208" s="1135"/>
      <c r="BB1208" s="1135"/>
      <c r="BC1208" s="1135"/>
      <c r="BD1208" s="1135"/>
      <c r="BE1208" s="1135"/>
      <c r="BF1208" s="1135"/>
      <c r="BG1208" s="1135"/>
      <c r="BH1208" s="1135"/>
      <c r="BI1208" s="1135"/>
      <c r="BJ1208" s="1135"/>
      <c r="BK1208" s="1135"/>
      <c r="BL1208" s="1135"/>
      <c r="BM1208" s="1135"/>
      <c r="BN1208" s="1135"/>
      <c r="BO1208" s="1135"/>
      <c r="BP1208" s="1135"/>
      <c r="BQ1208" s="1135"/>
      <c r="BR1208" s="1135"/>
      <c r="BS1208" s="1135"/>
      <c r="BT1208" s="1135"/>
    </row>
    <row r="1209" spans="1:72" s="450" customFormat="1" ht="16.350000000000001" customHeight="1" outlineLevel="3">
      <c r="A1209" s="1105"/>
      <c r="B1209" s="1155" t="s">
        <v>54</v>
      </c>
      <c r="C1209" s="1130"/>
      <c r="D1209" s="1130"/>
      <c r="E1209" s="1130">
        <v>0</v>
      </c>
      <c r="F1209" s="1130">
        <v>0</v>
      </c>
      <c r="G1209" s="1130">
        <v>0</v>
      </c>
      <c r="H1209" s="1130">
        <v>0</v>
      </c>
      <c r="I1209" s="1130">
        <v>0</v>
      </c>
      <c r="J1209" s="1130">
        <v>0</v>
      </c>
      <c r="K1209" s="1130">
        <v>0</v>
      </c>
      <c r="L1209" s="1134"/>
      <c r="M1209" s="1134"/>
      <c r="N1209" s="1134"/>
      <c r="O1209" s="1134"/>
      <c r="P1209" s="1134"/>
      <c r="Q1209" s="1134"/>
      <c r="R1209" s="1110"/>
      <c r="S1209" s="1135"/>
      <c r="T1209" s="1135"/>
      <c r="U1209" s="1135"/>
      <c r="V1209" s="1135"/>
      <c r="W1209" s="1135"/>
      <c r="X1209" s="1135"/>
      <c r="Y1209" s="1135"/>
      <c r="Z1209" s="1135"/>
      <c r="AA1209" s="1135"/>
      <c r="AB1209" s="1135"/>
      <c r="AC1209" s="1135"/>
      <c r="AD1209" s="1135"/>
      <c r="AE1209" s="1135"/>
      <c r="AF1209" s="1135"/>
      <c r="AG1209" s="1135"/>
      <c r="AH1209" s="1135"/>
      <c r="AI1209" s="1135"/>
      <c r="AJ1209" s="1135"/>
      <c r="AK1209" s="1135"/>
      <c r="AL1209" s="1135"/>
      <c r="AM1209" s="1135"/>
      <c r="AN1209" s="1135"/>
      <c r="AO1209" s="1135"/>
      <c r="AP1209" s="1135"/>
      <c r="AQ1209" s="1135"/>
      <c r="AR1209" s="1135"/>
      <c r="AS1209" s="1135"/>
      <c r="AT1209" s="1135"/>
      <c r="AU1209" s="1135"/>
      <c r="AV1209" s="1135"/>
      <c r="AW1209" s="1135"/>
      <c r="AX1209" s="1135"/>
      <c r="AY1209" s="1135"/>
      <c r="AZ1209" s="1135"/>
      <c r="BA1209" s="1135"/>
      <c r="BB1209" s="1135"/>
      <c r="BC1209" s="1135"/>
      <c r="BD1209" s="1135"/>
      <c r="BE1209" s="1135"/>
      <c r="BF1209" s="1135"/>
      <c r="BG1209" s="1135"/>
      <c r="BH1209" s="1135"/>
      <c r="BI1209" s="1135"/>
      <c r="BJ1209" s="1135"/>
      <c r="BK1209" s="1135"/>
      <c r="BL1209" s="1135"/>
      <c r="BM1209" s="1135"/>
      <c r="BN1209" s="1135"/>
      <c r="BO1209" s="1135"/>
      <c r="BP1209" s="1135"/>
      <c r="BQ1209" s="1135"/>
      <c r="BR1209" s="1135"/>
      <c r="BS1209" s="1135"/>
      <c r="BT1209" s="1135"/>
    </row>
    <row r="1210" spans="1:72" s="1141" customFormat="1" ht="16.350000000000001" customHeight="1" outlineLevel="3">
      <c r="A1210" s="1105"/>
      <c r="B1210" s="1156" t="s">
        <v>844</v>
      </c>
      <c r="C1210" s="1138"/>
      <c r="D1210" s="1138"/>
      <c r="E1210" s="1138">
        <v>0</v>
      </c>
      <c r="F1210" s="1138">
        <v>0</v>
      </c>
      <c r="G1210" s="1138">
        <f>G1207+G1208+G1209</f>
        <v>0</v>
      </c>
      <c r="H1210" s="1138">
        <f>H1207+H1208+H1209</f>
        <v>0</v>
      </c>
      <c r="I1210" s="1138">
        <f>I1207+I1208+I1209</f>
        <v>0</v>
      </c>
      <c r="J1210" s="1138">
        <f>J1207+J1208+J1209</f>
        <v>0</v>
      </c>
      <c r="K1210" s="1138">
        <f>K1207+K1208+K1209</f>
        <v>0</v>
      </c>
      <c r="L1210" s="1139"/>
      <c r="M1210" s="1139"/>
      <c r="N1210" s="1139"/>
      <c r="O1210" s="1139"/>
      <c r="P1210" s="1139"/>
      <c r="Q1210" s="1139"/>
      <c r="R1210" s="1110"/>
      <c r="S1210" s="1140"/>
      <c r="T1210" s="1140"/>
      <c r="U1210" s="1140"/>
      <c r="V1210" s="1140"/>
      <c r="W1210" s="1140"/>
      <c r="X1210" s="1140"/>
      <c r="Y1210" s="1140"/>
      <c r="Z1210" s="1140"/>
      <c r="AA1210" s="1140"/>
      <c r="AB1210" s="1140"/>
      <c r="AC1210" s="1140"/>
      <c r="AD1210" s="1140"/>
      <c r="AE1210" s="1140"/>
      <c r="AF1210" s="1140"/>
      <c r="AG1210" s="1140"/>
      <c r="AH1210" s="1140"/>
      <c r="AI1210" s="1140"/>
      <c r="AJ1210" s="1140"/>
      <c r="AK1210" s="1140"/>
      <c r="AL1210" s="1140"/>
      <c r="AM1210" s="1140"/>
      <c r="AN1210" s="1140"/>
      <c r="AO1210" s="1140"/>
      <c r="AP1210" s="1140"/>
      <c r="AQ1210" s="1140"/>
      <c r="AR1210" s="1140"/>
      <c r="AS1210" s="1140"/>
      <c r="AT1210" s="1140"/>
      <c r="AU1210" s="1140"/>
      <c r="AV1210" s="1140"/>
      <c r="AW1210" s="1140"/>
      <c r="AX1210" s="1140"/>
      <c r="AY1210" s="1140"/>
      <c r="AZ1210" s="1140"/>
      <c r="BA1210" s="1140"/>
      <c r="BB1210" s="1140"/>
      <c r="BC1210" s="1140"/>
      <c r="BD1210" s="1140"/>
      <c r="BE1210" s="1140"/>
      <c r="BF1210" s="1140"/>
      <c r="BG1210" s="1140"/>
      <c r="BH1210" s="1140"/>
      <c r="BI1210" s="1140"/>
      <c r="BJ1210" s="1140"/>
      <c r="BK1210" s="1140"/>
      <c r="BL1210" s="1140"/>
      <c r="BM1210" s="1140"/>
      <c r="BN1210" s="1140"/>
      <c r="BO1210" s="1140"/>
      <c r="BP1210" s="1140"/>
      <c r="BQ1210" s="1140"/>
      <c r="BR1210" s="1140"/>
      <c r="BS1210" s="1140"/>
      <c r="BT1210" s="1140"/>
    </row>
    <row r="1211" spans="1:72" s="1145" customFormat="1" ht="16.350000000000001" customHeight="1" outlineLevel="3">
      <c r="A1211" s="1105"/>
      <c r="B1211" s="1154"/>
      <c r="C1211" s="1130"/>
      <c r="D1211" s="1130"/>
      <c r="E1211" s="1130"/>
      <c r="F1211" s="1130"/>
      <c r="G1211" s="1130"/>
      <c r="H1211" s="1130"/>
      <c r="I1211" s="1130"/>
      <c r="J1211" s="1130"/>
      <c r="K1211" s="1130"/>
      <c r="L1211" s="1143"/>
      <c r="M1211" s="1143"/>
      <c r="N1211" s="1143"/>
      <c r="O1211" s="1143"/>
      <c r="P1211" s="1143"/>
      <c r="Q1211" s="1143"/>
      <c r="R1211" s="1110"/>
      <c r="S1211" s="1144"/>
      <c r="T1211" s="1144"/>
      <c r="U1211" s="1144"/>
      <c r="V1211" s="1144"/>
      <c r="W1211" s="1144"/>
      <c r="X1211" s="1144"/>
      <c r="Y1211" s="1144"/>
      <c r="Z1211" s="1144"/>
      <c r="AA1211" s="1144"/>
      <c r="AB1211" s="1144"/>
      <c r="AC1211" s="1144"/>
      <c r="AD1211" s="1144"/>
      <c r="AE1211" s="1144"/>
      <c r="AF1211" s="1144"/>
      <c r="AG1211" s="1144"/>
      <c r="AH1211" s="1144"/>
      <c r="AI1211" s="1144"/>
      <c r="AJ1211" s="1144"/>
      <c r="AK1211" s="1144"/>
      <c r="AL1211" s="1144"/>
      <c r="AM1211" s="1144"/>
      <c r="AN1211" s="1144"/>
      <c r="AO1211" s="1144"/>
      <c r="AP1211" s="1144"/>
      <c r="AQ1211" s="1144"/>
      <c r="AR1211" s="1144"/>
      <c r="AS1211" s="1144"/>
      <c r="AT1211" s="1144"/>
      <c r="AU1211" s="1144"/>
      <c r="AV1211" s="1144"/>
      <c r="AW1211" s="1144"/>
      <c r="AX1211" s="1144"/>
      <c r="AY1211" s="1144"/>
      <c r="AZ1211" s="1144"/>
      <c r="BA1211" s="1144"/>
      <c r="BB1211" s="1144"/>
      <c r="BC1211" s="1144"/>
      <c r="BD1211" s="1144"/>
      <c r="BE1211" s="1144"/>
      <c r="BF1211" s="1144"/>
      <c r="BG1211" s="1144"/>
      <c r="BH1211" s="1144"/>
      <c r="BI1211" s="1144"/>
      <c r="BJ1211" s="1144"/>
      <c r="BK1211" s="1144"/>
      <c r="BL1211" s="1144"/>
      <c r="BM1211" s="1144"/>
      <c r="BN1211" s="1144"/>
      <c r="BO1211" s="1144"/>
      <c r="BP1211" s="1144"/>
      <c r="BQ1211" s="1144"/>
      <c r="BR1211" s="1144"/>
      <c r="BS1211" s="1144"/>
      <c r="BT1211" s="1144"/>
    </row>
    <row r="1212" spans="1:72" s="1145" customFormat="1" ht="16.350000000000001" customHeight="1" outlineLevel="3">
      <c r="A1212" s="1105"/>
      <c r="B1212" s="1154" t="s">
        <v>845</v>
      </c>
      <c r="C1212" s="1130"/>
      <c r="D1212" s="1130">
        <v>21650557000</v>
      </c>
      <c r="E1212" s="1130">
        <v>17628645000</v>
      </c>
      <c r="F1212" s="1130">
        <v>16975867000</v>
      </c>
      <c r="G1212" s="1130">
        <f>H1214</f>
        <v>21585736000</v>
      </c>
      <c r="H1212" s="1130">
        <f>H1199+H1207</f>
        <v>20068739000</v>
      </c>
      <c r="I1212" s="1130">
        <f>I1199+I1207</f>
        <v>20324682000</v>
      </c>
      <c r="J1212" s="1130">
        <f>J1199+J1207</f>
        <v>18630416000</v>
      </c>
      <c r="K1212" s="1130">
        <f>K1199+K1207</f>
        <v>13433257000</v>
      </c>
      <c r="L1212" s="1143"/>
      <c r="M1212" s="1143"/>
      <c r="N1212" s="1143"/>
      <c r="O1212" s="1143"/>
      <c r="P1212" s="1143"/>
      <c r="Q1212" s="1143"/>
      <c r="R1212" s="1110"/>
      <c r="S1212" s="1144"/>
      <c r="T1212" s="1144"/>
      <c r="U1212" s="1144"/>
      <c r="V1212" s="1144"/>
      <c r="W1212" s="1144"/>
      <c r="X1212" s="1144"/>
      <c r="Y1212" s="1144"/>
      <c r="Z1212" s="1144"/>
      <c r="AA1212" s="1144"/>
      <c r="AB1212" s="1144"/>
      <c r="AC1212" s="1144"/>
      <c r="AD1212" s="1144"/>
      <c r="AE1212" s="1144"/>
      <c r="AF1212" s="1144"/>
      <c r="AG1212" s="1144"/>
      <c r="AH1212" s="1144"/>
      <c r="AI1212" s="1144"/>
      <c r="AJ1212" s="1144"/>
      <c r="AK1212" s="1144"/>
      <c r="AL1212" s="1144"/>
      <c r="AM1212" s="1144"/>
      <c r="AN1212" s="1144"/>
      <c r="AO1212" s="1144"/>
      <c r="AP1212" s="1144"/>
      <c r="AQ1212" s="1144"/>
      <c r="AR1212" s="1144"/>
      <c r="AS1212" s="1144"/>
      <c r="AT1212" s="1144"/>
      <c r="AU1212" s="1144"/>
      <c r="AV1212" s="1144"/>
      <c r="AW1212" s="1144"/>
      <c r="AX1212" s="1144"/>
      <c r="AY1212" s="1144"/>
      <c r="AZ1212" s="1144"/>
      <c r="BA1212" s="1144"/>
      <c r="BB1212" s="1144"/>
      <c r="BC1212" s="1144"/>
      <c r="BD1212" s="1144"/>
      <c r="BE1212" s="1144"/>
      <c r="BF1212" s="1144"/>
      <c r="BG1212" s="1144"/>
      <c r="BH1212" s="1144"/>
      <c r="BI1212" s="1144"/>
      <c r="BJ1212" s="1144"/>
      <c r="BK1212" s="1144"/>
      <c r="BL1212" s="1144"/>
      <c r="BM1212" s="1144"/>
      <c r="BN1212" s="1144"/>
      <c r="BO1212" s="1144"/>
      <c r="BP1212" s="1144"/>
      <c r="BQ1212" s="1144"/>
      <c r="BR1212" s="1144"/>
      <c r="BS1212" s="1144"/>
      <c r="BT1212" s="1144"/>
    </row>
    <row r="1213" spans="1:72" s="1145" customFormat="1" ht="16.350000000000001" customHeight="1" outlineLevel="3">
      <c r="A1213" s="1105"/>
      <c r="B1213" s="1142" t="s">
        <v>846</v>
      </c>
      <c r="C1213" s="1130"/>
      <c r="D1213" s="1130">
        <f t="shared" ref="D1213:K1213" si="156">D1214-D1212</f>
        <v>1472009000</v>
      </c>
      <c r="E1213" s="1130">
        <f t="shared" si="156"/>
        <v>4021912000</v>
      </c>
      <c r="F1213" s="1130">
        <f t="shared" si="156"/>
        <v>652778000</v>
      </c>
      <c r="G1213" s="1130">
        <f t="shared" si="156"/>
        <v>-4609869000</v>
      </c>
      <c r="H1213" s="1130">
        <f t="shared" si="156"/>
        <v>1516997000</v>
      </c>
      <c r="I1213" s="1130">
        <f t="shared" si="156"/>
        <v>-255943000</v>
      </c>
      <c r="J1213" s="1130">
        <f t="shared" si="156"/>
        <v>1694266000</v>
      </c>
      <c r="K1213" s="1130">
        <f t="shared" si="156"/>
        <v>5197159000</v>
      </c>
      <c r="L1213" s="1143"/>
      <c r="M1213" s="1143"/>
      <c r="N1213" s="1143"/>
      <c r="O1213" s="1143"/>
      <c r="P1213" s="1143"/>
      <c r="Q1213" s="1143"/>
      <c r="R1213" s="1110"/>
      <c r="S1213" s="1144"/>
      <c r="T1213" s="1144"/>
      <c r="U1213" s="1144"/>
      <c r="V1213" s="1144"/>
      <c r="W1213" s="1144"/>
      <c r="X1213" s="1144"/>
      <c r="Y1213" s="1144"/>
      <c r="Z1213" s="1144"/>
      <c r="AA1213" s="1144"/>
      <c r="AB1213" s="1144"/>
      <c r="AC1213" s="1144"/>
      <c r="AD1213" s="1144"/>
      <c r="AE1213" s="1144"/>
      <c r="AF1213" s="1144"/>
      <c r="AG1213" s="1144"/>
      <c r="AH1213" s="1144"/>
      <c r="AI1213" s="1144"/>
      <c r="AJ1213" s="1144"/>
      <c r="AK1213" s="1144"/>
      <c r="AL1213" s="1144"/>
      <c r="AM1213" s="1144"/>
      <c r="AN1213" s="1144"/>
      <c r="AO1213" s="1144"/>
      <c r="AP1213" s="1144"/>
      <c r="AQ1213" s="1144"/>
      <c r="AR1213" s="1144"/>
      <c r="AS1213" s="1144"/>
      <c r="AT1213" s="1144"/>
      <c r="AU1213" s="1144"/>
      <c r="AV1213" s="1144"/>
      <c r="AW1213" s="1144"/>
      <c r="AX1213" s="1144"/>
      <c r="AY1213" s="1144"/>
      <c r="AZ1213" s="1144"/>
      <c r="BA1213" s="1144"/>
      <c r="BB1213" s="1144"/>
      <c r="BC1213" s="1144"/>
      <c r="BD1213" s="1144"/>
      <c r="BE1213" s="1144"/>
      <c r="BF1213" s="1144"/>
      <c r="BG1213" s="1144"/>
      <c r="BH1213" s="1144"/>
      <c r="BI1213" s="1144"/>
      <c r="BJ1213" s="1144"/>
      <c r="BK1213" s="1144"/>
      <c r="BL1213" s="1144"/>
      <c r="BM1213" s="1144"/>
      <c r="BN1213" s="1144"/>
      <c r="BO1213" s="1144"/>
      <c r="BP1213" s="1144"/>
      <c r="BQ1213" s="1144"/>
      <c r="BR1213" s="1144"/>
      <c r="BS1213" s="1144"/>
      <c r="BT1213" s="1144"/>
    </row>
    <row r="1214" spans="1:72" s="1141" customFormat="1" ht="16.350000000000001" customHeight="1" outlineLevel="3">
      <c r="A1214" s="1105"/>
      <c r="B1214" s="1156" t="s">
        <v>847</v>
      </c>
      <c r="C1214" s="1138"/>
      <c r="D1214" s="1138">
        <v>23122566000</v>
      </c>
      <c r="E1214" s="1138">
        <v>21650557000</v>
      </c>
      <c r="F1214" s="1138">
        <v>17628645000</v>
      </c>
      <c r="G1214" s="1138">
        <f>G1205+G1210</f>
        <v>16975867000</v>
      </c>
      <c r="H1214" s="1138">
        <f>H1205+H1210</f>
        <v>21585736000</v>
      </c>
      <c r="I1214" s="1138">
        <f>I1205+I1210</f>
        <v>20068739000</v>
      </c>
      <c r="J1214" s="1138">
        <f>J1205+J1210</f>
        <v>20324682000</v>
      </c>
      <c r="K1214" s="1138">
        <f>K1205+K1210</f>
        <v>18630416000</v>
      </c>
      <c r="L1214" s="1139"/>
      <c r="M1214" s="1139"/>
      <c r="N1214" s="1139"/>
      <c r="O1214" s="1139"/>
      <c r="P1214" s="1139"/>
      <c r="Q1214" s="1139"/>
      <c r="R1214" s="1110"/>
      <c r="S1214" s="1140"/>
      <c r="T1214" s="1140"/>
      <c r="U1214" s="1140"/>
      <c r="V1214" s="1140"/>
      <c r="W1214" s="1140"/>
      <c r="X1214" s="1140"/>
      <c r="Y1214" s="1140"/>
      <c r="Z1214" s="1140"/>
      <c r="AA1214" s="1140"/>
      <c r="AB1214" s="1140"/>
      <c r="AC1214" s="1140"/>
      <c r="AD1214" s="1140"/>
      <c r="AE1214" s="1140"/>
      <c r="AF1214" s="1140"/>
      <c r="AG1214" s="1140"/>
      <c r="AH1214" s="1140"/>
      <c r="AI1214" s="1140"/>
      <c r="AJ1214" s="1140"/>
      <c r="AK1214" s="1140"/>
      <c r="AL1214" s="1140"/>
      <c r="AM1214" s="1140"/>
      <c r="AN1214" s="1140"/>
      <c r="AO1214" s="1140"/>
      <c r="AP1214" s="1140"/>
      <c r="AQ1214" s="1140"/>
      <c r="AR1214" s="1140"/>
      <c r="AS1214" s="1140"/>
      <c r="AT1214" s="1140"/>
      <c r="AU1214" s="1140"/>
      <c r="AV1214" s="1140"/>
      <c r="AW1214" s="1140"/>
      <c r="AX1214" s="1140"/>
      <c r="AY1214" s="1140"/>
      <c r="AZ1214" s="1140"/>
      <c r="BA1214" s="1140"/>
      <c r="BB1214" s="1140"/>
      <c r="BC1214" s="1140"/>
      <c r="BD1214" s="1140"/>
      <c r="BE1214" s="1140"/>
      <c r="BF1214" s="1140"/>
      <c r="BG1214" s="1140"/>
      <c r="BH1214" s="1140"/>
      <c r="BI1214" s="1140"/>
      <c r="BJ1214" s="1140"/>
      <c r="BK1214" s="1140"/>
      <c r="BL1214" s="1140"/>
      <c r="BM1214" s="1140"/>
      <c r="BN1214" s="1140"/>
      <c r="BO1214" s="1140"/>
      <c r="BP1214" s="1140"/>
      <c r="BQ1214" s="1140"/>
      <c r="BR1214" s="1140"/>
      <c r="BS1214" s="1140"/>
      <c r="BT1214" s="1140"/>
    </row>
    <row r="1215" spans="1:72" s="1152" customFormat="1" ht="16.350000000000001" customHeight="1" outlineLevel="3">
      <c r="A1215" s="1105"/>
      <c r="B1215" s="1157"/>
      <c r="C1215" s="1148"/>
      <c r="D1215" s="1148"/>
      <c r="E1215" s="1148"/>
      <c r="F1215" s="1148"/>
      <c r="G1215" s="1148"/>
      <c r="H1215" s="1149"/>
      <c r="I1215" s="1149"/>
      <c r="J1215" s="1149"/>
      <c r="K1215" s="1149"/>
      <c r="L1215" s="1150"/>
      <c r="M1215" s="1150"/>
      <c r="N1215" s="1150"/>
      <c r="O1215" s="1150"/>
      <c r="P1215" s="1151"/>
      <c r="Q1215" s="1151"/>
      <c r="R1215" s="1110"/>
    </row>
    <row r="1216" spans="1:72" s="290" customFormat="1" ht="16.350000000000001" customHeight="1" outlineLevel="1">
      <c r="A1216" s="1105"/>
      <c r="B1216" s="1158" t="s">
        <v>851</v>
      </c>
      <c r="C1216" s="1159"/>
      <c r="D1216" s="1159">
        <v>0</v>
      </c>
      <c r="E1216" s="1159">
        <v>600000000</v>
      </c>
      <c r="F1216" s="1159">
        <v>600000000</v>
      </c>
      <c r="G1216" s="1159">
        <v>600000000</v>
      </c>
      <c r="H1216" s="1159">
        <v>600000000</v>
      </c>
      <c r="I1216" s="1159">
        <v>325354000</v>
      </c>
      <c r="J1216" s="1159">
        <v>328671000</v>
      </c>
      <c r="K1216" s="1159">
        <v>0</v>
      </c>
      <c r="L1216" s="1159"/>
      <c r="M1216" s="1159"/>
      <c r="N1216" s="1159"/>
      <c r="O1216" s="1159"/>
      <c r="P1216" s="1159"/>
      <c r="Q1216" s="1159"/>
      <c r="R1216" s="1110"/>
      <c r="S1216" s="1160"/>
      <c r="T1216" s="1160"/>
      <c r="U1216" s="1160"/>
      <c r="V1216" s="1160"/>
      <c r="W1216" s="1160"/>
      <c r="X1216" s="1160"/>
      <c r="Y1216" s="1160"/>
      <c r="Z1216" s="1160"/>
      <c r="AA1216" s="1160"/>
      <c r="AB1216" s="1160"/>
      <c r="AC1216" s="1160"/>
      <c r="AD1216" s="1160"/>
      <c r="AE1216" s="1160"/>
      <c r="AF1216" s="1160"/>
      <c r="AG1216" s="1160"/>
      <c r="AH1216" s="1160"/>
      <c r="AI1216" s="1160"/>
      <c r="AJ1216" s="1160"/>
      <c r="AK1216" s="1160"/>
      <c r="AL1216" s="1160"/>
      <c r="AM1216" s="1160"/>
      <c r="AN1216" s="1160"/>
      <c r="AO1216" s="1160"/>
      <c r="AP1216" s="1160"/>
      <c r="AQ1216" s="1160"/>
      <c r="AR1216" s="1160"/>
      <c r="AS1216" s="1160"/>
      <c r="AT1216" s="1160"/>
      <c r="AU1216" s="1160"/>
      <c r="AV1216" s="1160"/>
      <c r="AW1216" s="1160"/>
      <c r="AX1216" s="1160"/>
      <c r="AY1216" s="1160"/>
      <c r="AZ1216" s="1160"/>
      <c r="BA1216" s="1160"/>
      <c r="BB1216" s="1160"/>
      <c r="BC1216" s="1160"/>
      <c r="BD1216" s="1160"/>
      <c r="BE1216" s="1160"/>
      <c r="BF1216" s="1160"/>
      <c r="BG1216" s="1160"/>
      <c r="BH1216" s="1160"/>
      <c r="BI1216" s="1160"/>
      <c r="BJ1216" s="1160"/>
      <c r="BK1216" s="1160"/>
      <c r="BL1216" s="1160"/>
      <c r="BM1216" s="1160"/>
      <c r="BN1216" s="1160"/>
      <c r="BO1216" s="1160"/>
      <c r="BP1216" s="1160"/>
      <c r="BQ1216" s="1160"/>
      <c r="BR1216" s="1160"/>
      <c r="BS1216" s="1160"/>
      <c r="BT1216" s="1160"/>
    </row>
    <row r="1217" spans="1:72" s="1125" customFormat="1" ht="16.350000000000001" customHeight="1" outlineLevel="1">
      <c r="A1217" s="1105"/>
      <c r="B1217" s="1121" t="s">
        <v>852</v>
      </c>
      <c r="C1217" s="1122"/>
      <c r="D1217" s="1122">
        <v>2196180000</v>
      </c>
      <c r="E1217" s="1122">
        <v>2373022000</v>
      </c>
      <c r="F1217" s="1122">
        <v>2639452000</v>
      </c>
      <c r="G1217" s="1122">
        <f>G1232</f>
        <v>2881746000</v>
      </c>
      <c r="H1217" s="1122">
        <f>H1232</f>
        <v>3074239000</v>
      </c>
      <c r="I1217" s="1122">
        <f>I1232</f>
        <v>3258955000</v>
      </c>
      <c r="J1217" s="1122">
        <f>J1232</f>
        <v>2907657000</v>
      </c>
      <c r="K1217" s="1122">
        <f>K1232</f>
        <v>2542829000</v>
      </c>
      <c r="L1217" s="1123"/>
      <c r="M1217" s="1123"/>
      <c r="N1217" s="1123"/>
      <c r="O1217" s="1123"/>
      <c r="P1217" s="1123"/>
      <c r="Q1217" s="1123"/>
      <c r="R1217" s="1110"/>
      <c r="S1217" s="1124"/>
      <c r="T1217" s="1124"/>
      <c r="U1217" s="1124"/>
      <c r="V1217" s="1124"/>
      <c r="W1217" s="1124"/>
      <c r="X1217" s="1124"/>
      <c r="Y1217" s="1124"/>
      <c r="Z1217" s="1124"/>
      <c r="AA1217" s="1124"/>
      <c r="AB1217" s="1124"/>
      <c r="AC1217" s="1124"/>
      <c r="AD1217" s="1124"/>
      <c r="AE1217" s="1124"/>
      <c r="AF1217" s="1124"/>
      <c r="AG1217" s="1124"/>
      <c r="AH1217" s="1124"/>
      <c r="AI1217" s="1124"/>
      <c r="AJ1217" s="1124"/>
      <c r="AK1217" s="1124"/>
      <c r="AL1217" s="1124"/>
      <c r="AM1217" s="1124"/>
      <c r="AN1217" s="1124"/>
      <c r="AO1217" s="1124"/>
      <c r="AP1217" s="1124"/>
      <c r="AQ1217" s="1124"/>
      <c r="AR1217" s="1124"/>
      <c r="AS1217" s="1124"/>
      <c r="AT1217" s="1124"/>
      <c r="AU1217" s="1124"/>
      <c r="AV1217" s="1124"/>
      <c r="AW1217" s="1124"/>
      <c r="AX1217" s="1124"/>
      <c r="AY1217" s="1124"/>
      <c r="AZ1217" s="1124"/>
      <c r="BA1217" s="1124"/>
      <c r="BB1217" s="1124"/>
      <c r="BC1217" s="1124"/>
      <c r="BD1217" s="1124"/>
      <c r="BE1217" s="1124"/>
      <c r="BF1217" s="1124"/>
      <c r="BG1217" s="1124"/>
      <c r="BH1217" s="1124"/>
      <c r="BI1217" s="1124"/>
      <c r="BJ1217" s="1124"/>
      <c r="BK1217" s="1124"/>
      <c r="BL1217" s="1124"/>
      <c r="BM1217" s="1124"/>
      <c r="BN1217" s="1124"/>
      <c r="BO1217" s="1124"/>
      <c r="BP1217" s="1124"/>
      <c r="BQ1217" s="1124"/>
      <c r="BR1217" s="1124"/>
      <c r="BS1217" s="1124"/>
      <c r="BT1217" s="1124"/>
    </row>
    <row r="1218" spans="1:72" s="1125" customFormat="1" ht="16.350000000000001" customHeight="1" outlineLevel="2">
      <c r="A1218" s="1105"/>
      <c r="B1218" s="1121"/>
      <c r="C1218" s="1122"/>
      <c r="D1218" s="1122"/>
      <c r="E1218" s="1122"/>
      <c r="F1218" s="1122"/>
      <c r="G1218" s="1122"/>
      <c r="H1218" s="1122"/>
      <c r="I1218" s="1122"/>
      <c r="J1218" s="1122"/>
      <c r="K1218" s="1122"/>
      <c r="L1218" s="1123"/>
      <c r="M1218" s="1123"/>
      <c r="N1218" s="1123"/>
      <c r="O1218" s="1123"/>
      <c r="P1218" s="1123"/>
      <c r="Q1218" s="1123"/>
      <c r="R1218" s="1110"/>
      <c r="S1218" s="1124"/>
      <c r="T1218" s="1124"/>
      <c r="U1218" s="1124"/>
      <c r="V1218" s="1124"/>
      <c r="W1218" s="1124"/>
      <c r="X1218" s="1124"/>
      <c r="Y1218" s="1124"/>
      <c r="Z1218" s="1124"/>
      <c r="AA1218" s="1124"/>
      <c r="AB1218" s="1124"/>
      <c r="AC1218" s="1124"/>
      <c r="AD1218" s="1124"/>
      <c r="AE1218" s="1124"/>
      <c r="AF1218" s="1124"/>
      <c r="AG1218" s="1124"/>
      <c r="AH1218" s="1124"/>
      <c r="AI1218" s="1124"/>
      <c r="AJ1218" s="1124"/>
      <c r="AK1218" s="1124"/>
      <c r="AL1218" s="1124"/>
      <c r="AM1218" s="1124"/>
      <c r="AN1218" s="1124"/>
      <c r="AO1218" s="1124"/>
      <c r="AP1218" s="1124"/>
      <c r="AQ1218" s="1124"/>
      <c r="AR1218" s="1124"/>
      <c r="AS1218" s="1124"/>
      <c r="AT1218" s="1124"/>
      <c r="AU1218" s="1124"/>
      <c r="AV1218" s="1124"/>
      <c r="AW1218" s="1124"/>
      <c r="AX1218" s="1124"/>
      <c r="AY1218" s="1124"/>
      <c r="AZ1218" s="1124"/>
      <c r="BA1218" s="1124"/>
      <c r="BB1218" s="1124"/>
      <c r="BC1218" s="1124"/>
      <c r="BD1218" s="1124"/>
      <c r="BE1218" s="1124"/>
      <c r="BF1218" s="1124"/>
      <c r="BG1218" s="1124"/>
      <c r="BH1218" s="1124"/>
      <c r="BI1218" s="1124"/>
      <c r="BJ1218" s="1124"/>
      <c r="BK1218" s="1124"/>
      <c r="BL1218" s="1124"/>
      <c r="BM1218" s="1124"/>
      <c r="BN1218" s="1124"/>
      <c r="BO1218" s="1124"/>
      <c r="BP1218" s="1124"/>
      <c r="BQ1218" s="1124"/>
      <c r="BR1218" s="1124"/>
      <c r="BS1218" s="1124"/>
      <c r="BT1218" s="1124"/>
    </row>
    <row r="1219" spans="1:72" s="1145" customFormat="1" ht="16.350000000000001" customHeight="1" outlineLevel="2">
      <c r="A1219" s="1105"/>
      <c r="B1219" s="1154" t="s">
        <v>838</v>
      </c>
      <c r="C1219" s="1130"/>
      <c r="D1219" s="1130">
        <v>2819831000</v>
      </c>
      <c r="E1219" s="1130">
        <v>3033439000</v>
      </c>
      <c r="F1219" s="1130">
        <v>3214224000</v>
      </c>
      <c r="G1219" s="1130">
        <f>H1223</f>
        <v>3348655000</v>
      </c>
      <c r="H1219" s="1130">
        <f>I1223</f>
        <v>3466665000</v>
      </c>
      <c r="I1219" s="1130">
        <v>3048892000</v>
      </c>
      <c r="J1219" s="1130">
        <f>K1223</f>
        <v>2627960000</v>
      </c>
      <c r="K1219" s="1130">
        <v>1706134000</v>
      </c>
      <c r="L1219" s="1143"/>
      <c r="M1219" s="1143"/>
      <c r="N1219" s="1143"/>
      <c r="O1219" s="1143"/>
      <c r="P1219" s="1143"/>
      <c r="Q1219" s="1143"/>
      <c r="R1219" s="1110"/>
      <c r="S1219" s="1144"/>
      <c r="T1219" s="1144"/>
      <c r="U1219" s="1144"/>
      <c r="V1219" s="1144"/>
      <c r="W1219" s="1144"/>
      <c r="X1219" s="1144"/>
      <c r="Y1219" s="1144"/>
      <c r="Z1219" s="1144"/>
      <c r="AA1219" s="1144"/>
      <c r="AB1219" s="1144"/>
      <c r="AC1219" s="1144"/>
      <c r="AD1219" s="1144"/>
      <c r="AE1219" s="1144"/>
      <c r="AF1219" s="1144"/>
      <c r="AG1219" s="1144"/>
      <c r="AH1219" s="1144"/>
      <c r="AI1219" s="1144"/>
      <c r="AJ1219" s="1144"/>
      <c r="AK1219" s="1144"/>
      <c r="AL1219" s="1144"/>
      <c r="AM1219" s="1144"/>
      <c r="AN1219" s="1144"/>
      <c r="AO1219" s="1144"/>
      <c r="AP1219" s="1144"/>
      <c r="AQ1219" s="1144"/>
      <c r="AR1219" s="1144"/>
      <c r="AS1219" s="1144"/>
      <c r="AT1219" s="1144"/>
      <c r="AU1219" s="1144"/>
      <c r="AV1219" s="1144"/>
      <c r="AW1219" s="1144"/>
      <c r="AX1219" s="1144"/>
      <c r="AY1219" s="1144"/>
      <c r="AZ1219" s="1144"/>
      <c r="BA1219" s="1144"/>
      <c r="BB1219" s="1144"/>
      <c r="BC1219" s="1144"/>
      <c r="BD1219" s="1144"/>
      <c r="BE1219" s="1144"/>
      <c r="BF1219" s="1144"/>
      <c r="BG1219" s="1144"/>
      <c r="BH1219" s="1144"/>
      <c r="BI1219" s="1144"/>
      <c r="BJ1219" s="1144"/>
      <c r="BK1219" s="1144"/>
      <c r="BL1219" s="1144"/>
      <c r="BM1219" s="1144"/>
      <c r="BN1219" s="1144"/>
      <c r="BO1219" s="1144"/>
      <c r="BP1219" s="1144"/>
      <c r="BQ1219" s="1144"/>
      <c r="BR1219" s="1144"/>
      <c r="BS1219" s="1144"/>
      <c r="BT1219" s="1144"/>
    </row>
    <row r="1220" spans="1:72" s="450" customFormat="1" ht="16.350000000000001" customHeight="1" outlineLevel="2">
      <c r="A1220" s="1105"/>
      <c r="B1220" s="1155" t="s">
        <v>53</v>
      </c>
      <c r="C1220" s="1130"/>
      <c r="D1220" s="1130">
        <v>847000</v>
      </c>
      <c r="E1220" s="1130">
        <v>63023000</v>
      </c>
      <c r="F1220" s="1130">
        <v>35817000</v>
      </c>
      <c r="G1220" s="1130">
        <v>275565000</v>
      </c>
      <c r="H1220" s="1130">
        <v>223829000</v>
      </c>
      <c r="I1220" s="1130">
        <v>718926000</v>
      </c>
      <c r="J1220" s="1130">
        <v>506289000</v>
      </c>
      <c r="K1220" s="1130">
        <v>1286511000</v>
      </c>
      <c r="L1220" s="1134"/>
      <c r="M1220" s="1134"/>
      <c r="N1220" s="1134"/>
      <c r="O1220" s="1134"/>
      <c r="P1220" s="1134"/>
      <c r="Q1220" s="1134"/>
      <c r="R1220" s="1110"/>
      <c r="S1220" s="1135"/>
      <c r="T1220" s="1135"/>
      <c r="U1220" s="1135"/>
      <c r="V1220" s="1135"/>
      <c r="W1220" s="1135"/>
      <c r="X1220" s="1135"/>
      <c r="Y1220" s="1135"/>
      <c r="Z1220" s="1135"/>
      <c r="AA1220" s="1135"/>
      <c r="AB1220" s="1135"/>
      <c r="AC1220" s="1135"/>
      <c r="AD1220" s="1135"/>
      <c r="AE1220" s="1135"/>
      <c r="AF1220" s="1135"/>
      <c r="AG1220" s="1135"/>
      <c r="AH1220" s="1135"/>
      <c r="AI1220" s="1135"/>
      <c r="AJ1220" s="1135"/>
      <c r="AK1220" s="1135"/>
      <c r="AL1220" s="1135"/>
      <c r="AM1220" s="1135"/>
      <c r="AN1220" s="1135"/>
      <c r="AO1220" s="1135"/>
      <c r="AP1220" s="1135"/>
      <c r="AQ1220" s="1135"/>
      <c r="AR1220" s="1135"/>
      <c r="AS1220" s="1135"/>
      <c r="AT1220" s="1135"/>
      <c r="AU1220" s="1135"/>
      <c r="AV1220" s="1135"/>
      <c r="AW1220" s="1135"/>
      <c r="AX1220" s="1135"/>
      <c r="AY1220" s="1135"/>
      <c r="AZ1220" s="1135"/>
      <c r="BA1220" s="1135"/>
      <c r="BB1220" s="1135"/>
      <c r="BC1220" s="1135"/>
      <c r="BD1220" s="1135"/>
      <c r="BE1220" s="1135"/>
      <c r="BF1220" s="1135"/>
      <c r="BG1220" s="1135"/>
      <c r="BH1220" s="1135"/>
      <c r="BI1220" s="1135"/>
      <c r="BJ1220" s="1135"/>
      <c r="BK1220" s="1135"/>
      <c r="BL1220" s="1135"/>
      <c r="BM1220" s="1135"/>
      <c r="BN1220" s="1135"/>
      <c r="BO1220" s="1135"/>
      <c r="BP1220" s="1135"/>
      <c r="BQ1220" s="1135"/>
      <c r="BR1220" s="1135"/>
      <c r="BS1220" s="1135"/>
      <c r="BT1220" s="1135"/>
    </row>
    <row r="1221" spans="1:72" s="450" customFormat="1" ht="16.350000000000001" customHeight="1" outlineLevel="2">
      <c r="A1221" s="1105"/>
      <c r="B1221" s="1155" t="s">
        <v>54</v>
      </c>
      <c r="C1221" s="1130"/>
      <c r="D1221" s="1130">
        <v>-28774000</v>
      </c>
      <c r="E1221" s="1130">
        <v>-26405000</v>
      </c>
      <c r="F1221" s="1130">
        <v>-24620000</v>
      </c>
      <c r="G1221" s="1130">
        <v>-99641000</v>
      </c>
      <c r="H1221" s="1130">
        <v>-5000000</v>
      </c>
      <c r="I1221" s="1130">
        <v>0</v>
      </c>
      <c r="J1221" s="1130">
        <v>0</v>
      </c>
      <c r="K1221" s="1130">
        <v>0</v>
      </c>
      <c r="L1221" s="1134"/>
      <c r="M1221" s="1134"/>
      <c r="N1221" s="1134"/>
      <c r="O1221" s="1134"/>
      <c r="P1221" s="1134"/>
      <c r="Q1221" s="1134"/>
      <c r="R1221" s="1110"/>
      <c r="S1221" s="1135"/>
      <c r="T1221" s="1135"/>
      <c r="U1221" s="1135"/>
      <c r="V1221" s="1135"/>
      <c r="W1221" s="1135"/>
      <c r="X1221" s="1135"/>
      <c r="Y1221" s="1135"/>
      <c r="Z1221" s="1135"/>
      <c r="AA1221" s="1135"/>
      <c r="AB1221" s="1135"/>
      <c r="AC1221" s="1135"/>
      <c r="AD1221" s="1135"/>
      <c r="AE1221" s="1135"/>
      <c r="AF1221" s="1135"/>
      <c r="AG1221" s="1135"/>
      <c r="AH1221" s="1135"/>
      <c r="AI1221" s="1135"/>
      <c r="AJ1221" s="1135"/>
      <c r="AK1221" s="1135"/>
      <c r="AL1221" s="1135"/>
      <c r="AM1221" s="1135"/>
      <c r="AN1221" s="1135"/>
      <c r="AO1221" s="1135"/>
      <c r="AP1221" s="1135"/>
      <c r="AQ1221" s="1135"/>
      <c r="AR1221" s="1135"/>
      <c r="AS1221" s="1135"/>
      <c r="AT1221" s="1135"/>
      <c r="AU1221" s="1135"/>
      <c r="AV1221" s="1135"/>
      <c r="AW1221" s="1135"/>
      <c r="AX1221" s="1135"/>
      <c r="AY1221" s="1135"/>
      <c r="AZ1221" s="1135"/>
      <c r="BA1221" s="1135"/>
      <c r="BB1221" s="1135"/>
      <c r="BC1221" s="1135"/>
      <c r="BD1221" s="1135"/>
      <c r="BE1221" s="1135"/>
      <c r="BF1221" s="1135"/>
      <c r="BG1221" s="1135"/>
      <c r="BH1221" s="1135"/>
      <c r="BI1221" s="1135"/>
      <c r="BJ1221" s="1135"/>
      <c r="BK1221" s="1135"/>
      <c r="BL1221" s="1135"/>
      <c r="BM1221" s="1135"/>
      <c r="BN1221" s="1135"/>
      <c r="BO1221" s="1135"/>
      <c r="BP1221" s="1135"/>
      <c r="BQ1221" s="1135"/>
      <c r="BR1221" s="1135"/>
      <c r="BS1221" s="1135"/>
      <c r="BT1221" s="1135"/>
    </row>
    <row r="1222" spans="1:72" s="450" customFormat="1" ht="16.350000000000001" customHeight="1" outlineLevel="2">
      <c r="A1222" s="1105"/>
      <c r="B1222" s="1155" t="s">
        <v>853</v>
      </c>
      <c r="C1222" s="1130"/>
      <c r="D1222" s="1130">
        <v>-107804000</v>
      </c>
      <c r="E1222" s="1130">
        <v>-250226000</v>
      </c>
      <c r="F1222" s="1130">
        <v>-191982000</v>
      </c>
      <c r="G1222" s="1130">
        <v>-310355000</v>
      </c>
      <c r="H1222" s="1130">
        <v>-336839000</v>
      </c>
      <c r="I1222" s="1130">
        <v>-301153000</v>
      </c>
      <c r="J1222" s="1130">
        <v>-85357000</v>
      </c>
      <c r="K1222" s="1130">
        <v>-364685000</v>
      </c>
      <c r="L1222" s="1134"/>
      <c r="M1222" s="1134"/>
      <c r="N1222" s="1134"/>
      <c r="O1222" s="1134"/>
      <c r="P1222" s="1134"/>
      <c r="Q1222" s="1134"/>
      <c r="R1222" s="1110"/>
      <c r="S1222" s="1135"/>
      <c r="T1222" s="1135"/>
      <c r="U1222" s="1135"/>
      <c r="V1222" s="1135"/>
      <c r="W1222" s="1135"/>
      <c r="X1222" s="1135"/>
      <c r="Y1222" s="1135"/>
      <c r="Z1222" s="1135"/>
      <c r="AA1222" s="1135"/>
      <c r="AB1222" s="1135"/>
      <c r="AC1222" s="1135"/>
      <c r="AD1222" s="1135"/>
      <c r="AE1222" s="1135"/>
      <c r="AF1222" s="1135"/>
      <c r="AG1222" s="1135"/>
      <c r="AH1222" s="1135"/>
      <c r="AI1222" s="1135"/>
      <c r="AJ1222" s="1135"/>
      <c r="AK1222" s="1135"/>
      <c r="AL1222" s="1135"/>
      <c r="AM1222" s="1135"/>
      <c r="AN1222" s="1135"/>
      <c r="AO1222" s="1135"/>
      <c r="AP1222" s="1135"/>
      <c r="AQ1222" s="1135"/>
      <c r="AR1222" s="1135"/>
      <c r="AS1222" s="1135"/>
      <c r="AT1222" s="1135"/>
      <c r="AU1222" s="1135"/>
      <c r="AV1222" s="1135"/>
      <c r="AW1222" s="1135"/>
      <c r="AX1222" s="1135"/>
      <c r="AY1222" s="1135"/>
      <c r="AZ1222" s="1135"/>
      <c r="BA1222" s="1135"/>
      <c r="BB1222" s="1135"/>
      <c r="BC1222" s="1135"/>
      <c r="BD1222" s="1135"/>
      <c r="BE1222" s="1135"/>
      <c r="BF1222" s="1135"/>
      <c r="BG1222" s="1135"/>
      <c r="BH1222" s="1135"/>
      <c r="BI1222" s="1135"/>
      <c r="BJ1222" s="1135"/>
      <c r="BK1222" s="1135"/>
      <c r="BL1222" s="1135"/>
      <c r="BM1222" s="1135"/>
      <c r="BN1222" s="1135"/>
      <c r="BO1222" s="1135"/>
      <c r="BP1222" s="1135"/>
      <c r="BQ1222" s="1135"/>
      <c r="BR1222" s="1135"/>
      <c r="BS1222" s="1135"/>
      <c r="BT1222" s="1135"/>
    </row>
    <row r="1223" spans="1:72" s="1141" customFormat="1" ht="16.350000000000001" customHeight="1" outlineLevel="2">
      <c r="A1223" s="1105"/>
      <c r="B1223" s="1156" t="s">
        <v>842</v>
      </c>
      <c r="C1223" s="1138"/>
      <c r="D1223" s="1138">
        <v>2684100000</v>
      </c>
      <c r="E1223" s="1138">
        <v>2819831000</v>
      </c>
      <c r="F1223" s="1138">
        <v>3033439000</v>
      </c>
      <c r="G1223" s="1138">
        <f>G1219+G1220+G1221+G1222</f>
        <v>3214224000</v>
      </c>
      <c r="H1223" s="1138">
        <f>H1219+H1220+H1221+H1222</f>
        <v>3348655000</v>
      </c>
      <c r="I1223" s="1138">
        <f>I1219+I1220+I1221+I1222</f>
        <v>3466665000</v>
      </c>
      <c r="J1223" s="1138">
        <f>J1219+J1220+J1221+J1222</f>
        <v>3048892000</v>
      </c>
      <c r="K1223" s="1138">
        <f>K1219+K1220+K1221+K1222</f>
        <v>2627960000</v>
      </c>
      <c r="L1223" s="1139"/>
      <c r="M1223" s="1139"/>
      <c r="N1223" s="1139"/>
      <c r="O1223" s="1139"/>
      <c r="P1223" s="1139"/>
      <c r="Q1223" s="1139"/>
      <c r="R1223" s="1110"/>
      <c r="S1223" s="1140"/>
      <c r="T1223" s="1140"/>
      <c r="U1223" s="1140"/>
      <c r="V1223" s="1140"/>
      <c r="W1223" s="1140"/>
      <c r="X1223" s="1140"/>
      <c r="Y1223" s="1140"/>
      <c r="Z1223" s="1140"/>
      <c r="AA1223" s="1140"/>
      <c r="AB1223" s="1140"/>
      <c r="AC1223" s="1140"/>
      <c r="AD1223" s="1140"/>
      <c r="AE1223" s="1140"/>
      <c r="AF1223" s="1140"/>
      <c r="AG1223" s="1140"/>
      <c r="AH1223" s="1140"/>
      <c r="AI1223" s="1140"/>
      <c r="AJ1223" s="1140"/>
      <c r="AK1223" s="1140"/>
      <c r="AL1223" s="1140"/>
      <c r="AM1223" s="1140"/>
      <c r="AN1223" s="1140"/>
      <c r="AO1223" s="1140"/>
      <c r="AP1223" s="1140"/>
      <c r="AQ1223" s="1140"/>
      <c r="AR1223" s="1140"/>
      <c r="AS1223" s="1140"/>
      <c r="AT1223" s="1140"/>
      <c r="AU1223" s="1140"/>
      <c r="AV1223" s="1140"/>
      <c r="AW1223" s="1140"/>
      <c r="AX1223" s="1140"/>
      <c r="AY1223" s="1140"/>
      <c r="AZ1223" s="1140"/>
      <c r="BA1223" s="1140"/>
      <c r="BB1223" s="1140"/>
      <c r="BC1223" s="1140"/>
      <c r="BD1223" s="1140"/>
      <c r="BE1223" s="1140"/>
      <c r="BF1223" s="1140"/>
      <c r="BG1223" s="1140"/>
      <c r="BH1223" s="1140"/>
      <c r="BI1223" s="1140"/>
      <c r="BJ1223" s="1140"/>
      <c r="BK1223" s="1140"/>
      <c r="BL1223" s="1140"/>
      <c r="BM1223" s="1140"/>
      <c r="BN1223" s="1140"/>
      <c r="BO1223" s="1140"/>
      <c r="BP1223" s="1140"/>
      <c r="BQ1223" s="1140"/>
      <c r="BR1223" s="1140"/>
      <c r="BS1223" s="1140"/>
      <c r="BT1223" s="1140"/>
    </row>
    <row r="1224" spans="1:72" s="1145" customFormat="1" ht="16.350000000000001" customHeight="1" outlineLevel="2">
      <c r="A1224" s="1105"/>
      <c r="B1224" s="1154"/>
      <c r="C1224" s="1130"/>
      <c r="D1224" s="1130"/>
      <c r="E1224" s="1130"/>
      <c r="F1224" s="1130"/>
      <c r="G1224" s="1130"/>
      <c r="H1224" s="1130"/>
      <c r="I1224" s="1130"/>
      <c r="J1224" s="1130"/>
      <c r="K1224" s="1130"/>
      <c r="L1224" s="1143"/>
      <c r="M1224" s="1143"/>
      <c r="N1224" s="1143"/>
      <c r="O1224" s="1143"/>
      <c r="P1224" s="1143"/>
      <c r="Q1224" s="1143"/>
      <c r="R1224" s="1110"/>
      <c r="S1224" s="1144"/>
      <c r="T1224" s="1144"/>
      <c r="U1224" s="1144"/>
      <c r="V1224" s="1144"/>
      <c r="W1224" s="1144"/>
      <c r="X1224" s="1144"/>
      <c r="Y1224" s="1144"/>
      <c r="Z1224" s="1144"/>
      <c r="AA1224" s="1144"/>
      <c r="AB1224" s="1144"/>
      <c r="AC1224" s="1144"/>
      <c r="AD1224" s="1144"/>
      <c r="AE1224" s="1144"/>
      <c r="AF1224" s="1144"/>
      <c r="AG1224" s="1144"/>
      <c r="AH1224" s="1144"/>
      <c r="AI1224" s="1144"/>
      <c r="AJ1224" s="1144"/>
      <c r="AK1224" s="1144"/>
      <c r="AL1224" s="1144"/>
      <c r="AM1224" s="1144"/>
      <c r="AN1224" s="1144"/>
      <c r="AO1224" s="1144"/>
      <c r="AP1224" s="1144"/>
      <c r="AQ1224" s="1144"/>
      <c r="AR1224" s="1144"/>
      <c r="AS1224" s="1144"/>
      <c r="AT1224" s="1144"/>
      <c r="AU1224" s="1144"/>
      <c r="AV1224" s="1144"/>
      <c r="AW1224" s="1144"/>
      <c r="AX1224" s="1144"/>
      <c r="AY1224" s="1144"/>
      <c r="AZ1224" s="1144"/>
      <c r="BA1224" s="1144"/>
      <c r="BB1224" s="1144"/>
      <c r="BC1224" s="1144"/>
      <c r="BD1224" s="1144"/>
      <c r="BE1224" s="1144"/>
      <c r="BF1224" s="1144"/>
      <c r="BG1224" s="1144"/>
      <c r="BH1224" s="1144"/>
      <c r="BI1224" s="1144"/>
      <c r="BJ1224" s="1144"/>
      <c r="BK1224" s="1144"/>
      <c r="BL1224" s="1144"/>
      <c r="BM1224" s="1144"/>
      <c r="BN1224" s="1144"/>
      <c r="BO1224" s="1144"/>
      <c r="BP1224" s="1144"/>
      <c r="BQ1224" s="1144"/>
      <c r="BR1224" s="1144"/>
      <c r="BS1224" s="1144"/>
      <c r="BT1224" s="1144"/>
    </row>
    <row r="1225" spans="1:72" s="1145" customFormat="1" ht="16.350000000000001" customHeight="1" outlineLevel="2">
      <c r="A1225" s="1105"/>
      <c r="B1225" s="1154" t="s">
        <v>854</v>
      </c>
      <c r="C1225" s="1130"/>
      <c r="D1225" s="1130">
        <v>-446809000</v>
      </c>
      <c r="E1225" s="1130">
        <v>-393987000</v>
      </c>
      <c r="F1225" s="1130">
        <v>-332478000</v>
      </c>
      <c r="G1225" s="1130">
        <f>H1228</f>
        <v>-274416000</v>
      </c>
      <c r="H1225" s="1130">
        <f>I1228</f>
        <v>-207710000</v>
      </c>
      <c r="I1225" s="1130">
        <f>J1228</f>
        <v>-141235000</v>
      </c>
      <c r="J1225" s="1130">
        <v>-85129000</v>
      </c>
      <c r="K1225" s="1130">
        <v>-39042000</v>
      </c>
      <c r="L1225" s="1143"/>
      <c r="M1225" s="1143"/>
      <c r="N1225" s="1143"/>
      <c r="O1225" s="1143"/>
      <c r="P1225" s="1143"/>
      <c r="Q1225" s="1143"/>
      <c r="R1225" s="1110"/>
      <c r="S1225" s="1144"/>
      <c r="T1225" s="1144"/>
      <c r="U1225" s="1144"/>
      <c r="V1225" s="1144"/>
      <c r="W1225" s="1144"/>
      <c r="X1225" s="1144"/>
      <c r="Y1225" s="1144"/>
      <c r="Z1225" s="1144"/>
      <c r="AA1225" s="1144"/>
      <c r="AB1225" s="1144"/>
      <c r="AC1225" s="1144"/>
      <c r="AD1225" s="1144"/>
      <c r="AE1225" s="1144"/>
      <c r="AF1225" s="1144"/>
      <c r="AG1225" s="1144"/>
      <c r="AH1225" s="1144"/>
      <c r="AI1225" s="1144"/>
      <c r="AJ1225" s="1144"/>
      <c r="AK1225" s="1144"/>
      <c r="AL1225" s="1144"/>
      <c r="AM1225" s="1144"/>
      <c r="AN1225" s="1144"/>
      <c r="AO1225" s="1144"/>
      <c r="AP1225" s="1144"/>
      <c r="AQ1225" s="1144"/>
      <c r="AR1225" s="1144"/>
      <c r="AS1225" s="1144"/>
      <c r="AT1225" s="1144"/>
      <c r="AU1225" s="1144"/>
      <c r="AV1225" s="1144"/>
      <c r="AW1225" s="1144"/>
      <c r="AX1225" s="1144"/>
      <c r="AY1225" s="1144"/>
      <c r="AZ1225" s="1144"/>
      <c r="BA1225" s="1144"/>
      <c r="BB1225" s="1144"/>
      <c r="BC1225" s="1144"/>
      <c r="BD1225" s="1144"/>
      <c r="BE1225" s="1144"/>
      <c r="BF1225" s="1144"/>
      <c r="BG1225" s="1144"/>
      <c r="BH1225" s="1144"/>
      <c r="BI1225" s="1144"/>
      <c r="BJ1225" s="1144"/>
      <c r="BK1225" s="1144"/>
      <c r="BL1225" s="1144"/>
      <c r="BM1225" s="1144"/>
      <c r="BN1225" s="1144"/>
      <c r="BO1225" s="1144"/>
      <c r="BP1225" s="1144"/>
      <c r="BQ1225" s="1144"/>
      <c r="BR1225" s="1144"/>
      <c r="BS1225" s="1144"/>
      <c r="BT1225" s="1144"/>
    </row>
    <row r="1226" spans="1:72" s="450" customFormat="1" ht="16.350000000000001" customHeight="1" outlineLevel="2">
      <c r="A1226" s="1105"/>
      <c r="B1226" s="1155" t="s">
        <v>94</v>
      </c>
      <c r="C1226" s="1130"/>
      <c r="D1226" s="1130">
        <v>-44096000</v>
      </c>
      <c r="E1226" s="1130">
        <v>-54530000</v>
      </c>
      <c r="F1226" s="1130">
        <v>-63876000</v>
      </c>
      <c r="G1226" s="1130">
        <v>-67220000</v>
      </c>
      <c r="H1226" s="1130">
        <v>-67282000</v>
      </c>
      <c r="I1226" s="1130">
        <v>-66475000</v>
      </c>
      <c r="J1226" s="1130">
        <v>-56104000</v>
      </c>
      <c r="K1226" s="1130">
        <v>-46089000</v>
      </c>
      <c r="L1226" s="1134"/>
      <c r="M1226" s="1134"/>
      <c r="N1226" s="1134"/>
      <c r="O1226" s="1134"/>
      <c r="P1226" s="1134"/>
      <c r="Q1226" s="1134"/>
      <c r="R1226" s="1110"/>
      <c r="S1226" s="1135"/>
      <c r="T1226" s="1135"/>
      <c r="U1226" s="1135"/>
      <c r="V1226" s="1135"/>
      <c r="W1226" s="1135"/>
      <c r="X1226" s="1135"/>
      <c r="Y1226" s="1135"/>
      <c r="Z1226" s="1135"/>
      <c r="AA1226" s="1135"/>
      <c r="AB1226" s="1135"/>
      <c r="AC1226" s="1135"/>
      <c r="AD1226" s="1135"/>
      <c r="AE1226" s="1135"/>
      <c r="AF1226" s="1135"/>
      <c r="AG1226" s="1135"/>
      <c r="AH1226" s="1135"/>
      <c r="AI1226" s="1135"/>
      <c r="AJ1226" s="1135"/>
      <c r="AK1226" s="1135"/>
      <c r="AL1226" s="1135"/>
      <c r="AM1226" s="1135"/>
      <c r="AN1226" s="1135"/>
      <c r="AO1226" s="1135"/>
      <c r="AP1226" s="1135"/>
      <c r="AQ1226" s="1135"/>
      <c r="AR1226" s="1135"/>
      <c r="AS1226" s="1135"/>
      <c r="AT1226" s="1135"/>
      <c r="AU1226" s="1135"/>
      <c r="AV1226" s="1135"/>
      <c r="AW1226" s="1135"/>
      <c r="AX1226" s="1135"/>
      <c r="AY1226" s="1135"/>
      <c r="AZ1226" s="1135"/>
      <c r="BA1226" s="1135"/>
      <c r="BB1226" s="1135"/>
      <c r="BC1226" s="1135"/>
      <c r="BD1226" s="1135"/>
      <c r="BE1226" s="1135"/>
      <c r="BF1226" s="1135"/>
      <c r="BG1226" s="1135"/>
      <c r="BH1226" s="1135"/>
      <c r="BI1226" s="1135"/>
      <c r="BJ1226" s="1135"/>
      <c r="BK1226" s="1135"/>
      <c r="BL1226" s="1135"/>
      <c r="BM1226" s="1135"/>
      <c r="BN1226" s="1135"/>
      <c r="BO1226" s="1135"/>
      <c r="BP1226" s="1135"/>
      <c r="BQ1226" s="1135"/>
      <c r="BR1226" s="1135"/>
      <c r="BS1226" s="1135"/>
      <c r="BT1226" s="1135"/>
    </row>
    <row r="1227" spans="1:72" s="450" customFormat="1" ht="16.350000000000001" customHeight="1" outlineLevel="2">
      <c r="A1227" s="1105"/>
      <c r="B1227" s="1155" t="s">
        <v>54</v>
      </c>
      <c r="C1227" s="1130"/>
      <c r="D1227" s="1130">
        <v>2985000</v>
      </c>
      <c r="E1227" s="1130">
        <v>1708000</v>
      </c>
      <c r="F1227" s="1130">
        <v>2367000</v>
      </c>
      <c r="G1227" s="1130">
        <v>9158000</v>
      </c>
      <c r="H1227" s="1130">
        <v>576000</v>
      </c>
      <c r="I1227" s="1130">
        <v>0</v>
      </c>
      <c r="J1227" s="1130">
        <v>0</v>
      </c>
      <c r="K1227" s="1130">
        <v>0</v>
      </c>
      <c r="L1227" s="1134"/>
      <c r="M1227" s="1134"/>
      <c r="N1227" s="1134"/>
      <c r="O1227" s="1134"/>
      <c r="P1227" s="1134"/>
      <c r="Q1227" s="1134"/>
      <c r="R1227" s="1110"/>
      <c r="S1227" s="1135"/>
      <c r="T1227" s="1135"/>
      <c r="U1227" s="1135"/>
      <c r="V1227" s="1135"/>
      <c r="W1227" s="1135"/>
      <c r="X1227" s="1135"/>
      <c r="Y1227" s="1135"/>
      <c r="Z1227" s="1135"/>
      <c r="AA1227" s="1135"/>
      <c r="AB1227" s="1135"/>
      <c r="AC1227" s="1135"/>
      <c r="AD1227" s="1135"/>
      <c r="AE1227" s="1135"/>
      <c r="AF1227" s="1135"/>
      <c r="AG1227" s="1135"/>
      <c r="AH1227" s="1135"/>
      <c r="AI1227" s="1135"/>
      <c r="AJ1227" s="1135"/>
      <c r="AK1227" s="1135"/>
      <c r="AL1227" s="1135"/>
      <c r="AM1227" s="1135"/>
      <c r="AN1227" s="1135"/>
      <c r="AO1227" s="1135"/>
      <c r="AP1227" s="1135"/>
      <c r="AQ1227" s="1135"/>
      <c r="AR1227" s="1135"/>
      <c r="AS1227" s="1135"/>
      <c r="AT1227" s="1135"/>
      <c r="AU1227" s="1135"/>
      <c r="AV1227" s="1135"/>
      <c r="AW1227" s="1135"/>
      <c r="AX1227" s="1135"/>
      <c r="AY1227" s="1135"/>
      <c r="AZ1227" s="1135"/>
      <c r="BA1227" s="1135"/>
      <c r="BB1227" s="1135"/>
      <c r="BC1227" s="1135"/>
      <c r="BD1227" s="1135"/>
      <c r="BE1227" s="1135"/>
      <c r="BF1227" s="1135"/>
      <c r="BG1227" s="1135"/>
      <c r="BH1227" s="1135"/>
      <c r="BI1227" s="1135"/>
      <c r="BJ1227" s="1135"/>
      <c r="BK1227" s="1135"/>
      <c r="BL1227" s="1135"/>
      <c r="BM1227" s="1135"/>
      <c r="BN1227" s="1135"/>
      <c r="BO1227" s="1135"/>
      <c r="BP1227" s="1135"/>
      <c r="BQ1227" s="1135"/>
      <c r="BR1227" s="1135"/>
      <c r="BS1227" s="1135"/>
      <c r="BT1227" s="1135"/>
    </row>
    <row r="1228" spans="1:72" s="1141" customFormat="1" ht="16.350000000000001" customHeight="1" outlineLevel="2">
      <c r="A1228" s="1105"/>
      <c r="B1228" s="1156" t="s">
        <v>844</v>
      </c>
      <c r="C1228" s="1138"/>
      <c r="D1228" s="1138">
        <v>-487920000</v>
      </c>
      <c r="E1228" s="1138">
        <v>-446809000</v>
      </c>
      <c r="F1228" s="1138">
        <v>393987000</v>
      </c>
      <c r="G1228" s="1138">
        <f>G1225+G1226+G1227</f>
        <v>-332478000</v>
      </c>
      <c r="H1228" s="1138">
        <f>H1225+H1226+H1227</f>
        <v>-274416000</v>
      </c>
      <c r="I1228" s="1138">
        <f>I1225+I1226+I1227</f>
        <v>-207710000</v>
      </c>
      <c r="J1228" s="1138">
        <f>(J1225+J1226+J1227)-2000</f>
        <v>-141235000</v>
      </c>
      <c r="K1228" s="1138">
        <f>K1225+K1226+K1227</f>
        <v>-85131000</v>
      </c>
      <c r="L1228" s="1139"/>
      <c r="M1228" s="1139"/>
      <c r="N1228" s="1139"/>
      <c r="O1228" s="1139"/>
      <c r="P1228" s="1139"/>
      <c r="Q1228" s="1139"/>
      <c r="R1228" s="1110"/>
      <c r="S1228" s="1140"/>
      <c r="T1228" s="1140"/>
      <c r="U1228" s="1140"/>
      <c r="V1228" s="1140"/>
      <c r="W1228" s="1140"/>
      <c r="X1228" s="1140"/>
      <c r="Y1228" s="1140"/>
      <c r="Z1228" s="1140"/>
      <c r="AA1228" s="1140"/>
      <c r="AB1228" s="1140"/>
      <c r="AC1228" s="1140"/>
      <c r="AD1228" s="1140"/>
      <c r="AE1228" s="1140"/>
      <c r="AF1228" s="1140"/>
      <c r="AG1228" s="1140"/>
      <c r="AH1228" s="1140"/>
      <c r="AI1228" s="1140"/>
      <c r="AJ1228" s="1140"/>
      <c r="AK1228" s="1140"/>
      <c r="AL1228" s="1140"/>
      <c r="AM1228" s="1140"/>
      <c r="AN1228" s="1140"/>
      <c r="AO1228" s="1140"/>
      <c r="AP1228" s="1140"/>
      <c r="AQ1228" s="1140"/>
      <c r="AR1228" s="1140"/>
      <c r="AS1228" s="1140"/>
      <c r="AT1228" s="1140"/>
      <c r="AU1228" s="1140"/>
      <c r="AV1228" s="1140"/>
      <c r="AW1228" s="1140"/>
      <c r="AX1228" s="1140"/>
      <c r="AY1228" s="1140"/>
      <c r="AZ1228" s="1140"/>
      <c r="BA1228" s="1140"/>
      <c r="BB1228" s="1140"/>
      <c r="BC1228" s="1140"/>
      <c r="BD1228" s="1140"/>
      <c r="BE1228" s="1140"/>
      <c r="BF1228" s="1140"/>
      <c r="BG1228" s="1140"/>
      <c r="BH1228" s="1140"/>
      <c r="BI1228" s="1140"/>
      <c r="BJ1228" s="1140"/>
      <c r="BK1228" s="1140"/>
      <c r="BL1228" s="1140"/>
      <c r="BM1228" s="1140"/>
      <c r="BN1228" s="1140"/>
      <c r="BO1228" s="1140"/>
      <c r="BP1228" s="1140"/>
      <c r="BQ1228" s="1140"/>
      <c r="BR1228" s="1140"/>
      <c r="BS1228" s="1140"/>
      <c r="BT1228" s="1140"/>
    </row>
    <row r="1229" spans="1:72" s="1145" customFormat="1" ht="16.350000000000001" customHeight="1" outlineLevel="2">
      <c r="A1229" s="1105"/>
      <c r="B1229" s="1154"/>
      <c r="C1229" s="1130"/>
      <c r="D1229" s="1130"/>
      <c r="E1229" s="1130"/>
      <c r="F1229" s="1130"/>
      <c r="G1229" s="1130"/>
      <c r="H1229" s="1130"/>
      <c r="I1229" s="1130"/>
      <c r="J1229" s="1130"/>
      <c r="K1229" s="1130"/>
      <c r="L1229" s="1143"/>
      <c r="M1229" s="1143"/>
      <c r="N1229" s="1143"/>
      <c r="O1229" s="1143"/>
      <c r="P1229" s="1143"/>
      <c r="Q1229" s="1143"/>
      <c r="R1229" s="1110"/>
      <c r="S1229" s="1144"/>
      <c r="T1229" s="1144"/>
      <c r="U1229" s="1144"/>
      <c r="V1229" s="1144"/>
      <c r="W1229" s="1144"/>
      <c r="X1229" s="1144"/>
      <c r="Y1229" s="1144"/>
      <c r="Z1229" s="1144"/>
      <c r="AA1229" s="1144"/>
      <c r="AB1229" s="1144"/>
      <c r="AC1229" s="1144"/>
      <c r="AD1229" s="1144"/>
      <c r="AE1229" s="1144"/>
      <c r="AF1229" s="1144"/>
      <c r="AG1229" s="1144"/>
      <c r="AH1229" s="1144"/>
      <c r="AI1229" s="1144"/>
      <c r="AJ1229" s="1144"/>
      <c r="AK1229" s="1144"/>
      <c r="AL1229" s="1144"/>
      <c r="AM1229" s="1144"/>
      <c r="AN1229" s="1144"/>
      <c r="AO1229" s="1144"/>
      <c r="AP1229" s="1144"/>
      <c r="AQ1229" s="1144"/>
      <c r="AR1229" s="1144"/>
      <c r="AS1229" s="1144"/>
      <c r="AT1229" s="1144"/>
      <c r="AU1229" s="1144"/>
      <c r="AV1229" s="1144"/>
      <c r="AW1229" s="1144"/>
      <c r="AX1229" s="1144"/>
      <c r="AY1229" s="1144"/>
      <c r="AZ1229" s="1144"/>
      <c r="BA1229" s="1144"/>
      <c r="BB1229" s="1144"/>
      <c r="BC1229" s="1144"/>
      <c r="BD1229" s="1144"/>
      <c r="BE1229" s="1144"/>
      <c r="BF1229" s="1144"/>
      <c r="BG1229" s="1144"/>
      <c r="BH1229" s="1144"/>
      <c r="BI1229" s="1144"/>
      <c r="BJ1229" s="1144"/>
      <c r="BK1229" s="1144"/>
      <c r="BL1229" s="1144"/>
      <c r="BM1229" s="1144"/>
      <c r="BN1229" s="1144"/>
      <c r="BO1229" s="1144"/>
      <c r="BP1229" s="1144"/>
      <c r="BQ1229" s="1144"/>
      <c r="BR1229" s="1144"/>
      <c r="BS1229" s="1144"/>
      <c r="BT1229" s="1144"/>
    </row>
    <row r="1230" spans="1:72" s="1145" customFormat="1" ht="16.350000000000001" customHeight="1" outlineLevel="2">
      <c r="A1230" s="1105"/>
      <c r="B1230" s="1154" t="s">
        <v>845</v>
      </c>
      <c r="C1230" s="1130"/>
      <c r="D1230" s="1130">
        <v>2373022000</v>
      </c>
      <c r="E1230" s="1130">
        <v>2639452000</v>
      </c>
      <c r="F1230" s="1130">
        <v>2881746000</v>
      </c>
      <c r="G1230" s="1130">
        <f>G1219+G1225</f>
        <v>3074239000</v>
      </c>
      <c r="H1230" s="1130">
        <f>H1219+H1225</f>
        <v>3258955000</v>
      </c>
      <c r="I1230" s="1130">
        <f>I1219+I1225</f>
        <v>2907657000</v>
      </c>
      <c r="J1230" s="1130">
        <f>J1219+J1225</f>
        <v>2542831000</v>
      </c>
      <c r="K1230" s="1130">
        <f>K1219+K1225</f>
        <v>1667092000</v>
      </c>
      <c r="L1230" s="1143"/>
      <c r="M1230" s="1143"/>
      <c r="N1230" s="1143"/>
      <c r="O1230" s="1143"/>
      <c r="P1230" s="1143"/>
      <c r="Q1230" s="1143"/>
      <c r="R1230" s="1110"/>
      <c r="S1230" s="1144"/>
      <c r="T1230" s="1144"/>
      <c r="U1230" s="1144"/>
      <c r="V1230" s="1144"/>
      <c r="W1230" s="1144"/>
      <c r="X1230" s="1144"/>
      <c r="Y1230" s="1144"/>
      <c r="Z1230" s="1144"/>
      <c r="AA1230" s="1144"/>
      <c r="AB1230" s="1144"/>
      <c r="AC1230" s="1144"/>
      <c r="AD1230" s="1144"/>
      <c r="AE1230" s="1144"/>
      <c r="AF1230" s="1144"/>
      <c r="AG1230" s="1144"/>
      <c r="AH1230" s="1144"/>
      <c r="AI1230" s="1144"/>
      <c r="AJ1230" s="1144"/>
      <c r="AK1230" s="1144"/>
      <c r="AL1230" s="1144"/>
      <c r="AM1230" s="1144"/>
      <c r="AN1230" s="1144"/>
      <c r="AO1230" s="1144"/>
      <c r="AP1230" s="1144"/>
      <c r="AQ1230" s="1144"/>
      <c r="AR1230" s="1144"/>
      <c r="AS1230" s="1144"/>
      <c r="AT1230" s="1144"/>
      <c r="AU1230" s="1144"/>
      <c r="AV1230" s="1144"/>
      <c r="AW1230" s="1144"/>
      <c r="AX1230" s="1144"/>
      <c r="AY1230" s="1144"/>
      <c r="AZ1230" s="1144"/>
      <c r="BA1230" s="1144"/>
      <c r="BB1230" s="1144"/>
      <c r="BC1230" s="1144"/>
      <c r="BD1230" s="1144"/>
      <c r="BE1230" s="1144"/>
      <c r="BF1230" s="1144"/>
      <c r="BG1230" s="1144"/>
      <c r="BH1230" s="1144"/>
      <c r="BI1230" s="1144"/>
      <c r="BJ1230" s="1144"/>
      <c r="BK1230" s="1144"/>
      <c r="BL1230" s="1144"/>
      <c r="BM1230" s="1144"/>
      <c r="BN1230" s="1144"/>
      <c r="BO1230" s="1144"/>
      <c r="BP1230" s="1144"/>
      <c r="BQ1230" s="1144"/>
      <c r="BR1230" s="1144"/>
      <c r="BS1230" s="1144"/>
      <c r="BT1230" s="1144"/>
    </row>
    <row r="1231" spans="1:72" s="1145" customFormat="1" ht="16.350000000000001" customHeight="1" outlineLevel="2">
      <c r="A1231" s="1105"/>
      <c r="B1231" s="1142" t="s">
        <v>846</v>
      </c>
      <c r="C1231" s="1130"/>
      <c r="D1231" s="1130">
        <f>D1232-D1230</f>
        <v>-176842000</v>
      </c>
      <c r="E1231" s="1130">
        <f>E1232-E1230</f>
        <v>-266430000</v>
      </c>
      <c r="F1231" s="1130">
        <f t="shared" ref="F1231:K1231" si="157">F1232-F1230</f>
        <v>-242294000</v>
      </c>
      <c r="G1231" s="1130">
        <f t="shared" si="157"/>
        <v>-192493000</v>
      </c>
      <c r="H1231" s="1130">
        <f t="shared" si="157"/>
        <v>-184716000</v>
      </c>
      <c r="I1231" s="1130">
        <f t="shared" si="157"/>
        <v>351298000</v>
      </c>
      <c r="J1231" s="1130">
        <f t="shared" si="157"/>
        <v>364826000</v>
      </c>
      <c r="K1231" s="1130">
        <f t="shared" si="157"/>
        <v>875737000</v>
      </c>
      <c r="L1231" s="1143"/>
      <c r="M1231" s="1143"/>
      <c r="N1231" s="1143"/>
      <c r="O1231" s="1143"/>
      <c r="P1231" s="1143"/>
      <c r="Q1231" s="1143"/>
      <c r="R1231" s="1110"/>
      <c r="S1231" s="1144"/>
      <c r="T1231" s="1144"/>
      <c r="U1231" s="1144"/>
      <c r="V1231" s="1144"/>
      <c r="W1231" s="1144"/>
      <c r="X1231" s="1144"/>
      <c r="Y1231" s="1144"/>
      <c r="Z1231" s="1144"/>
      <c r="AA1231" s="1144"/>
      <c r="AB1231" s="1144"/>
      <c r="AC1231" s="1144"/>
      <c r="AD1231" s="1144"/>
      <c r="AE1231" s="1144"/>
      <c r="AF1231" s="1144"/>
      <c r="AG1231" s="1144"/>
      <c r="AH1231" s="1144"/>
      <c r="AI1231" s="1144"/>
      <c r="AJ1231" s="1144"/>
      <c r="AK1231" s="1144"/>
      <c r="AL1231" s="1144"/>
      <c r="AM1231" s="1144"/>
      <c r="AN1231" s="1144"/>
      <c r="AO1231" s="1144"/>
      <c r="AP1231" s="1144"/>
      <c r="AQ1231" s="1144"/>
      <c r="AR1231" s="1144"/>
      <c r="AS1231" s="1144"/>
      <c r="AT1231" s="1144"/>
      <c r="AU1231" s="1144"/>
      <c r="AV1231" s="1144"/>
      <c r="AW1231" s="1144"/>
      <c r="AX1231" s="1144"/>
      <c r="AY1231" s="1144"/>
      <c r="AZ1231" s="1144"/>
      <c r="BA1231" s="1144"/>
      <c r="BB1231" s="1144"/>
      <c r="BC1231" s="1144"/>
      <c r="BD1231" s="1144"/>
      <c r="BE1231" s="1144"/>
      <c r="BF1231" s="1144"/>
      <c r="BG1231" s="1144"/>
      <c r="BH1231" s="1144"/>
      <c r="BI1231" s="1144"/>
      <c r="BJ1231" s="1144"/>
      <c r="BK1231" s="1144"/>
      <c r="BL1231" s="1144"/>
      <c r="BM1231" s="1144"/>
      <c r="BN1231" s="1144"/>
      <c r="BO1231" s="1144"/>
      <c r="BP1231" s="1144"/>
      <c r="BQ1231" s="1144"/>
      <c r="BR1231" s="1144"/>
      <c r="BS1231" s="1144"/>
      <c r="BT1231" s="1144"/>
    </row>
    <row r="1232" spans="1:72" s="1141" customFormat="1" ht="16.350000000000001" customHeight="1" outlineLevel="2">
      <c r="A1232" s="1105"/>
      <c r="B1232" s="1156" t="s">
        <v>847</v>
      </c>
      <c r="C1232" s="1138"/>
      <c r="D1232" s="1138">
        <v>2196180000</v>
      </c>
      <c r="E1232" s="1138">
        <v>2373022000</v>
      </c>
      <c r="F1232" s="1138">
        <v>2639452000</v>
      </c>
      <c r="G1232" s="1138">
        <f>G1223+G1228</f>
        <v>2881746000</v>
      </c>
      <c r="H1232" s="1138">
        <f>H1223+H1228</f>
        <v>3074239000</v>
      </c>
      <c r="I1232" s="1138">
        <f>I1223+I1228</f>
        <v>3258955000</v>
      </c>
      <c r="J1232" s="1138">
        <f>J1223+J1228</f>
        <v>2907657000</v>
      </c>
      <c r="K1232" s="1138">
        <f>K1223+K1228</f>
        <v>2542829000</v>
      </c>
      <c r="L1232" s="1139"/>
      <c r="M1232" s="1139"/>
      <c r="N1232" s="1139"/>
      <c r="O1232" s="1139"/>
      <c r="P1232" s="1139"/>
      <c r="Q1232" s="1139"/>
      <c r="R1232" s="1110"/>
      <c r="S1232" s="1140"/>
      <c r="T1232" s="1140"/>
      <c r="U1232" s="1140"/>
      <c r="V1232" s="1140"/>
      <c r="W1232" s="1140"/>
      <c r="X1232" s="1140"/>
      <c r="Y1232" s="1140"/>
      <c r="Z1232" s="1140"/>
      <c r="AA1232" s="1140"/>
      <c r="AB1232" s="1140"/>
      <c r="AC1232" s="1140"/>
      <c r="AD1232" s="1140"/>
      <c r="AE1232" s="1140"/>
      <c r="AF1232" s="1140"/>
      <c r="AG1232" s="1140"/>
      <c r="AH1232" s="1140"/>
      <c r="AI1232" s="1140"/>
      <c r="AJ1232" s="1140"/>
      <c r="AK1232" s="1140"/>
      <c r="AL1232" s="1140"/>
      <c r="AM1232" s="1140"/>
      <c r="AN1232" s="1140"/>
      <c r="AO1232" s="1140"/>
      <c r="AP1232" s="1140"/>
      <c r="AQ1232" s="1140"/>
      <c r="AR1232" s="1140"/>
      <c r="AS1232" s="1140"/>
      <c r="AT1232" s="1140"/>
      <c r="AU1232" s="1140"/>
      <c r="AV1232" s="1140"/>
      <c r="AW1232" s="1140"/>
      <c r="AX1232" s="1140"/>
      <c r="AY1232" s="1140"/>
      <c r="AZ1232" s="1140"/>
      <c r="BA1232" s="1140"/>
      <c r="BB1232" s="1140"/>
      <c r="BC1232" s="1140"/>
      <c r="BD1232" s="1140"/>
      <c r="BE1232" s="1140"/>
      <c r="BF1232" s="1140"/>
      <c r="BG1232" s="1140"/>
      <c r="BH1232" s="1140"/>
      <c r="BI1232" s="1140"/>
      <c r="BJ1232" s="1140"/>
      <c r="BK1232" s="1140"/>
      <c r="BL1232" s="1140"/>
      <c r="BM1232" s="1140"/>
      <c r="BN1232" s="1140"/>
      <c r="BO1232" s="1140"/>
      <c r="BP1232" s="1140"/>
      <c r="BQ1232" s="1140"/>
      <c r="BR1232" s="1140"/>
      <c r="BS1232" s="1140"/>
      <c r="BT1232" s="1140"/>
    </row>
    <row r="1233" spans="1:72" s="1125" customFormat="1" ht="16.350000000000001" customHeight="1" outlineLevel="2">
      <c r="A1233" s="1105"/>
      <c r="B1233" s="1126"/>
      <c r="C1233" s="1122"/>
      <c r="D1233" s="1122"/>
      <c r="E1233" s="1122"/>
      <c r="F1233" s="1122"/>
      <c r="G1233" s="1122"/>
      <c r="H1233" s="1122"/>
      <c r="I1233" s="1122"/>
      <c r="J1233" s="1122"/>
      <c r="K1233" s="1122"/>
      <c r="L1233" s="1123"/>
      <c r="M1233" s="1123"/>
      <c r="N1233" s="1123"/>
      <c r="O1233" s="1123"/>
      <c r="P1233" s="1123"/>
      <c r="Q1233" s="1123"/>
      <c r="R1233" s="1110"/>
      <c r="S1233" s="1124"/>
      <c r="T1233" s="1124"/>
      <c r="U1233" s="1124"/>
      <c r="V1233" s="1124"/>
      <c r="W1233" s="1124"/>
      <c r="X1233" s="1124"/>
      <c r="Y1233" s="1124"/>
      <c r="Z1233" s="1124"/>
      <c r="AA1233" s="1124"/>
      <c r="AB1233" s="1124"/>
      <c r="AC1233" s="1124"/>
      <c r="AD1233" s="1124"/>
      <c r="AE1233" s="1124"/>
      <c r="AF1233" s="1124"/>
      <c r="AG1233" s="1124"/>
      <c r="AH1233" s="1124"/>
      <c r="AI1233" s="1124"/>
      <c r="AJ1233" s="1124"/>
      <c r="AK1233" s="1124"/>
      <c r="AL1233" s="1124"/>
      <c r="AM1233" s="1124"/>
      <c r="AN1233" s="1124"/>
      <c r="AO1233" s="1124"/>
      <c r="AP1233" s="1124"/>
      <c r="AQ1233" s="1124"/>
      <c r="AR1233" s="1124"/>
      <c r="AS1233" s="1124"/>
      <c r="AT1233" s="1124"/>
      <c r="AU1233" s="1124"/>
      <c r="AV1233" s="1124"/>
      <c r="AW1233" s="1124"/>
      <c r="AX1233" s="1124"/>
      <c r="AY1233" s="1124"/>
      <c r="AZ1233" s="1124"/>
      <c r="BA1233" s="1124"/>
      <c r="BB1233" s="1124"/>
      <c r="BC1233" s="1124"/>
      <c r="BD1233" s="1124"/>
      <c r="BE1233" s="1124"/>
      <c r="BF1233" s="1124"/>
      <c r="BG1233" s="1124"/>
      <c r="BH1233" s="1124"/>
      <c r="BI1233" s="1124"/>
      <c r="BJ1233" s="1124"/>
      <c r="BK1233" s="1124"/>
      <c r="BL1233" s="1124"/>
      <c r="BM1233" s="1124"/>
      <c r="BN1233" s="1124"/>
      <c r="BO1233" s="1124"/>
      <c r="BP1233" s="1124"/>
      <c r="BQ1233" s="1124"/>
      <c r="BR1233" s="1124"/>
      <c r="BS1233" s="1124"/>
      <c r="BT1233" s="1124"/>
    </row>
    <row r="1234" spans="1:72" s="1165" customFormat="1" ht="16.350000000000001" customHeight="1" outlineLevel="2">
      <c r="A1234" s="1105"/>
      <c r="B1234" s="1161" t="s">
        <v>855</v>
      </c>
      <c r="C1234" s="1162"/>
      <c r="D1234" s="1162">
        <v>780000</v>
      </c>
      <c r="E1234" s="1162">
        <v>2610000</v>
      </c>
      <c r="F1234" s="1162">
        <v>3087000</v>
      </c>
      <c r="G1234" s="1162">
        <v>11205000</v>
      </c>
      <c r="H1234" s="1162">
        <v>18605000</v>
      </c>
      <c r="I1234" s="1162">
        <v>22790000</v>
      </c>
      <c r="J1234" s="1162">
        <v>36679000</v>
      </c>
      <c r="K1234" s="1162">
        <v>38898000</v>
      </c>
      <c r="L1234" s="1163"/>
      <c r="M1234" s="1163"/>
      <c r="N1234" s="1163"/>
      <c r="O1234" s="1163"/>
      <c r="P1234" s="1163"/>
      <c r="Q1234" s="1163"/>
      <c r="R1234" s="1110"/>
      <c r="S1234" s="1164"/>
      <c r="T1234" s="1164"/>
      <c r="U1234" s="1164"/>
      <c r="V1234" s="1164"/>
      <c r="W1234" s="1164"/>
      <c r="X1234" s="1164"/>
      <c r="Y1234" s="1164"/>
      <c r="Z1234" s="1164"/>
      <c r="AA1234" s="1164"/>
      <c r="AB1234" s="1164"/>
      <c r="AC1234" s="1164"/>
      <c r="AD1234" s="1164"/>
      <c r="AE1234" s="1164"/>
      <c r="AF1234" s="1164"/>
      <c r="AG1234" s="1164"/>
      <c r="AH1234" s="1164"/>
      <c r="AI1234" s="1164"/>
      <c r="AJ1234" s="1164"/>
      <c r="AK1234" s="1164"/>
      <c r="AL1234" s="1164"/>
      <c r="AM1234" s="1164"/>
      <c r="AN1234" s="1164"/>
      <c r="AO1234" s="1164"/>
      <c r="AP1234" s="1164"/>
      <c r="AQ1234" s="1164"/>
      <c r="AR1234" s="1164"/>
      <c r="AS1234" s="1164"/>
      <c r="AT1234" s="1164"/>
      <c r="AU1234" s="1164"/>
      <c r="AV1234" s="1164"/>
      <c r="AW1234" s="1164"/>
      <c r="AX1234" s="1164"/>
      <c r="AY1234" s="1164"/>
      <c r="AZ1234" s="1164"/>
      <c r="BA1234" s="1164"/>
      <c r="BB1234" s="1164"/>
      <c r="BC1234" s="1164"/>
      <c r="BD1234" s="1164"/>
      <c r="BE1234" s="1164"/>
      <c r="BF1234" s="1164"/>
      <c r="BG1234" s="1164"/>
      <c r="BH1234" s="1164"/>
      <c r="BI1234" s="1164"/>
      <c r="BJ1234" s="1164"/>
      <c r="BK1234" s="1164"/>
      <c r="BL1234" s="1164"/>
      <c r="BM1234" s="1164"/>
      <c r="BN1234" s="1164"/>
      <c r="BO1234" s="1164"/>
      <c r="BP1234" s="1164"/>
      <c r="BQ1234" s="1164"/>
      <c r="BR1234" s="1164"/>
      <c r="BS1234" s="1164"/>
      <c r="BT1234" s="1164"/>
    </row>
    <row r="1235" spans="1:72" s="1125" customFormat="1" ht="16.350000000000001" customHeight="1" outlineLevel="2">
      <c r="A1235" s="1105"/>
      <c r="B1235" s="1153"/>
      <c r="C1235" s="1122"/>
      <c r="D1235" s="1122"/>
      <c r="E1235" s="1122"/>
      <c r="F1235" s="1122"/>
      <c r="G1235" s="1122"/>
      <c r="H1235" s="1122"/>
      <c r="I1235" s="1122"/>
      <c r="J1235" s="1122"/>
      <c r="K1235" s="1122"/>
      <c r="L1235" s="1123"/>
      <c r="M1235" s="1123"/>
      <c r="N1235" s="1123"/>
      <c r="O1235" s="1123"/>
      <c r="P1235" s="1123"/>
      <c r="Q1235" s="1123"/>
      <c r="R1235" s="1110"/>
      <c r="S1235" s="1124"/>
      <c r="T1235" s="1124"/>
      <c r="U1235" s="1124"/>
      <c r="V1235" s="1124"/>
      <c r="W1235" s="1124"/>
      <c r="X1235" s="1124"/>
      <c r="Y1235" s="1124"/>
      <c r="Z1235" s="1124"/>
      <c r="AA1235" s="1124"/>
      <c r="AB1235" s="1124"/>
      <c r="AC1235" s="1124"/>
      <c r="AD1235" s="1124"/>
      <c r="AE1235" s="1124"/>
      <c r="AF1235" s="1124"/>
      <c r="AG1235" s="1124"/>
      <c r="AH1235" s="1124"/>
      <c r="AI1235" s="1124"/>
      <c r="AJ1235" s="1124"/>
      <c r="AK1235" s="1124"/>
      <c r="AL1235" s="1124"/>
      <c r="AM1235" s="1124"/>
      <c r="AN1235" s="1124"/>
      <c r="AO1235" s="1124"/>
      <c r="AP1235" s="1124"/>
      <c r="AQ1235" s="1124"/>
      <c r="AR1235" s="1124"/>
      <c r="AS1235" s="1124"/>
      <c r="AT1235" s="1124"/>
      <c r="AU1235" s="1124"/>
      <c r="AV1235" s="1124"/>
      <c r="AW1235" s="1124"/>
      <c r="AX1235" s="1124"/>
      <c r="AY1235" s="1124"/>
      <c r="AZ1235" s="1124"/>
      <c r="BA1235" s="1124"/>
      <c r="BB1235" s="1124"/>
      <c r="BC1235" s="1124"/>
      <c r="BD1235" s="1124"/>
      <c r="BE1235" s="1124"/>
      <c r="BF1235" s="1124"/>
      <c r="BG1235" s="1124"/>
      <c r="BH1235" s="1124"/>
      <c r="BI1235" s="1124"/>
      <c r="BJ1235" s="1124"/>
      <c r="BK1235" s="1124"/>
      <c r="BL1235" s="1124"/>
      <c r="BM1235" s="1124"/>
      <c r="BN1235" s="1124"/>
      <c r="BO1235" s="1124"/>
      <c r="BP1235" s="1124"/>
      <c r="BQ1235" s="1124"/>
      <c r="BR1235" s="1124"/>
      <c r="BS1235" s="1124"/>
      <c r="BT1235" s="1124"/>
    </row>
    <row r="1236" spans="1:72" s="1125" customFormat="1" ht="16.350000000000001" customHeight="1" outlineLevel="1">
      <c r="A1236" s="1105"/>
      <c r="B1236" s="1121" t="s">
        <v>856</v>
      </c>
      <c r="C1236" s="1122"/>
      <c r="D1236" s="1122">
        <v>3442439000</v>
      </c>
      <c r="E1236" s="1122">
        <v>2267960000</v>
      </c>
      <c r="F1236" s="1122">
        <v>1423638000</v>
      </c>
      <c r="G1236" s="1122">
        <f>G1237+G1255+G1273+G1291+G1309</f>
        <v>1396548000</v>
      </c>
      <c r="H1236" s="1122">
        <f>H1237+H1255+H1273+H1291+H1309</f>
        <v>904590000</v>
      </c>
      <c r="I1236" s="1122">
        <f>I1237+I1255+I1273+I1291+I1309</f>
        <v>740286000</v>
      </c>
      <c r="J1236" s="1122">
        <f>J1237+J1255+J1273+J1291+J1309</f>
        <v>523116000</v>
      </c>
      <c r="K1236" s="1122">
        <f>K1237+K1255+K1273+K1291+K1309</f>
        <v>284777000</v>
      </c>
      <c r="L1236" s="1123"/>
      <c r="M1236" s="1123"/>
      <c r="N1236" s="1123"/>
      <c r="O1236" s="1123"/>
      <c r="P1236" s="1123"/>
      <c r="Q1236" s="1123"/>
      <c r="R1236" s="1110"/>
      <c r="S1236" s="1124"/>
      <c r="T1236" s="1124"/>
      <c r="U1236" s="1124"/>
      <c r="V1236" s="1124"/>
      <c r="W1236" s="1124"/>
      <c r="X1236" s="1124"/>
      <c r="Y1236" s="1124"/>
      <c r="Z1236" s="1124"/>
      <c r="AA1236" s="1124"/>
      <c r="AB1236" s="1124"/>
      <c r="AC1236" s="1124"/>
      <c r="AD1236" s="1124"/>
      <c r="AE1236" s="1124"/>
      <c r="AF1236" s="1124"/>
      <c r="AG1236" s="1124"/>
      <c r="AH1236" s="1124"/>
      <c r="AI1236" s="1124"/>
      <c r="AJ1236" s="1124"/>
      <c r="AK1236" s="1124"/>
      <c r="AL1236" s="1124"/>
      <c r="AM1236" s="1124"/>
      <c r="AN1236" s="1124"/>
      <c r="AO1236" s="1124"/>
      <c r="AP1236" s="1124"/>
      <c r="AQ1236" s="1124"/>
      <c r="AR1236" s="1124"/>
      <c r="AS1236" s="1124"/>
      <c r="AT1236" s="1124"/>
      <c r="AU1236" s="1124"/>
      <c r="AV1236" s="1124"/>
      <c r="AW1236" s="1124"/>
      <c r="AX1236" s="1124"/>
      <c r="AY1236" s="1124"/>
      <c r="AZ1236" s="1124"/>
      <c r="BA1236" s="1124"/>
      <c r="BB1236" s="1124"/>
      <c r="BC1236" s="1124"/>
      <c r="BD1236" s="1124"/>
      <c r="BE1236" s="1124"/>
      <c r="BF1236" s="1124"/>
      <c r="BG1236" s="1124"/>
      <c r="BH1236" s="1124"/>
      <c r="BI1236" s="1124"/>
      <c r="BJ1236" s="1124"/>
      <c r="BK1236" s="1124"/>
      <c r="BL1236" s="1124"/>
      <c r="BM1236" s="1124"/>
      <c r="BN1236" s="1124"/>
      <c r="BO1236" s="1124"/>
      <c r="BP1236" s="1124"/>
      <c r="BQ1236" s="1124"/>
      <c r="BR1236" s="1124"/>
      <c r="BS1236" s="1124"/>
      <c r="BT1236" s="1124"/>
    </row>
    <row r="1237" spans="1:72" s="1125" customFormat="1" ht="16.350000000000001" customHeight="1" outlineLevel="1">
      <c r="A1237" s="1105"/>
      <c r="B1237" s="1126" t="s">
        <v>97</v>
      </c>
      <c r="C1237" s="1122"/>
      <c r="D1237" s="1122">
        <v>282546000</v>
      </c>
      <c r="E1237" s="1122">
        <v>266432000</v>
      </c>
      <c r="F1237" s="1122">
        <v>147031000</v>
      </c>
      <c r="G1237" s="1122">
        <f>G1253</f>
        <v>159388000</v>
      </c>
      <c r="H1237" s="1127">
        <f>H1253</f>
        <v>92531000</v>
      </c>
      <c r="I1237" s="1127">
        <f>I1253</f>
        <v>62540000</v>
      </c>
      <c r="J1237" s="1127">
        <f>J1253</f>
        <v>45734000</v>
      </c>
      <c r="K1237" s="1127">
        <f>K1253</f>
        <v>33585000</v>
      </c>
      <c r="L1237" s="1128"/>
      <c r="M1237" s="1128"/>
      <c r="N1237" s="1128"/>
      <c r="O1237" s="1128"/>
      <c r="P1237" s="1128"/>
      <c r="Q1237" s="1128"/>
      <c r="R1237" s="1110"/>
      <c r="S1237" s="1124"/>
      <c r="T1237" s="1124"/>
      <c r="U1237" s="1124"/>
      <c r="V1237" s="1124"/>
      <c r="W1237" s="1124"/>
      <c r="X1237" s="1124"/>
      <c r="Y1237" s="1124"/>
      <c r="Z1237" s="1124"/>
      <c r="AA1237" s="1124"/>
      <c r="AB1237" s="1124"/>
      <c r="AC1237" s="1124"/>
      <c r="AD1237" s="1124"/>
      <c r="AE1237" s="1124"/>
      <c r="AF1237" s="1124"/>
      <c r="AG1237" s="1124"/>
      <c r="AH1237" s="1124"/>
      <c r="AI1237" s="1124"/>
      <c r="AJ1237" s="1124"/>
      <c r="AK1237" s="1124"/>
      <c r="AL1237" s="1124"/>
      <c r="AM1237" s="1124"/>
      <c r="AN1237" s="1124"/>
      <c r="AO1237" s="1124"/>
      <c r="AP1237" s="1124"/>
      <c r="AQ1237" s="1124"/>
      <c r="AR1237" s="1124"/>
      <c r="AS1237" s="1124"/>
      <c r="AT1237" s="1124"/>
      <c r="AU1237" s="1124"/>
      <c r="AV1237" s="1124"/>
      <c r="AW1237" s="1124"/>
      <c r="AX1237" s="1124"/>
      <c r="AY1237" s="1124"/>
      <c r="AZ1237" s="1124"/>
      <c r="BA1237" s="1124"/>
      <c r="BB1237" s="1124"/>
      <c r="BC1237" s="1124"/>
      <c r="BD1237" s="1124"/>
      <c r="BE1237" s="1124"/>
      <c r="BF1237" s="1124"/>
      <c r="BG1237" s="1124"/>
      <c r="BH1237" s="1124"/>
      <c r="BI1237" s="1124"/>
      <c r="BJ1237" s="1124"/>
      <c r="BK1237" s="1124"/>
      <c r="BL1237" s="1124"/>
      <c r="BM1237" s="1124"/>
      <c r="BN1237" s="1124"/>
      <c r="BO1237" s="1124"/>
      <c r="BP1237" s="1124"/>
      <c r="BQ1237" s="1124"/>
      <c r="BR1237" s="1124"/>
      <c r="BS1237" s="1124"/>
      <c r="BT1237" s="1124"/>
    </row>
    <row r="1238" spans="1:72" s="1125" customFormat="1" ht="16.350000000000001" customHeight="1" outlineLevel="2">
      <c r="A1238" s="1105"/>
      <c r="B1238" s="1126"/>
      <c r="C1238" s="1122"/>
      <c r="D1238" s="1122"/>
      <c r="E1238" s="1122"/>
      <c r="F1238" s="1122"/>
      <c r="G1238" s="1122"/>
      <c r="H1238" s="1127"/>
      <c r="I1238" s="1127"/>
      <c r="J1238" s="1127"/>
      <c r="K1238" s="1127"/>
      <c r="L1238" s="1128"/>
      <c r="M1238" s="1128"/>
      <c r="N1238" s="1128"/>
      <c r="O1238" s="1128"/>
      <c r="P1238" s="1128"/>
      <c r="Q1238" s="1128"/>
      <c r="R1238" s="1110"/>
      <c r="S1238" s="1124"/>
      <c r="T1238" s="1124"/>
      <c r="U1238" s="1124"/>
      <c r="V1238" s="1124"/>
      <c r="W1238" s="1124"/>
      <c r="X1238" s="1124"/>
      <c r="Y1238" s="1124"/>
      <c r="Z1238" s="1124"/>
      <c r="AA1238" s="1124"/>
      <c r="AB1238" s="1124"/>
      <c r="AC1238" s="1124"/>
      <c r="AD1238" s="1124"/>
      <c r="AE1238" s="1124"/>
      <c r="AF1238" s="1124"/>
      <c r="AG1238" s="1124"/>
      <c r="AH1238" s="1124"/>
      <c r="AI1238" s="1124"/>
      <c r="AJ1238" s="1124"/>
      <c r="AK1238" s="1124"/>
      <c r="AL1238" s="1124"/>
      <c r="AM1238" s="1124"/>
      <c r="AN1238" s="1124"/>
      <c r="AO1238" s="1124"/>
      <c r="AP1238" s="1124"/>
      <c r="AQ1238" s="1124"/>
      <c r="AR1238" s="1124"/>
      <c r="AS1238" s="1124"/>
      <c r="AT1238" s="1124"/>
      <c r="AU1238" s="1124"/>
      <c r="AV1238" s="1124"/>
      <c r="AW1238" s="1124"/>
      <c r="AX1238" s="1124"/>
      <c r="AY1238" s="1124"/>
      <c r="AZ1238" s="1124"/>
      <c r="BA1238" s="1124"/>
      <c r="BB1238" s="1124"/>
      <c r="BC1238" s="1124"/>
      <c r="BD1238" s="1124"/>
      <c r="BE1238" s="1124"/>
      <c r="BF1238" s="1124"/>
      <c r="BG1238" s="1124"/>
      <c r="BH1238" s="1124"/>
      <c r="BI1238" s="1124"/>
      <c r="BJ1238" s="1124"/>
      <c r="BK1238" s="1124"/>
      <c r="BL1238" s="1124"/>
      <c r="BM1238" s="1124"/>
      <c r="BN1238" s="1124"/>
      <c r="BO1238" s="1124"/>
      <c r="BP1238" s="1124"/>
      <c r="BQ1238" s="1124"/>
      <c r="BR1238" s="1124"/>
      <c r="BS1238" s="1124"/>
      <c r="BT1238" s="1124"/>
    </row>
    <row r="1239" spans="1:72" s="1145" customFormat="1" ht="16.350000000000001" customHeight="1" outlineLevel="2">
      <c r="A1239" s="1105"/>
      <c r="B1239" s="1142" t="s">
        <v>838</v>
      </c>
      <c r="C1239" s="1130"/>
      <c r="D1239" s="1130">
        <v>266432000</v>
      </c>
      <c r="E1239" s="1130">
        <v>249150000</v>
      </c>
      <c r="F1239" s="1130">
        <v>231108000</v>
      </c>
      <c r="G1239" s="1130">
        <f>H1244</f>
        <v>140590000</v>
      </c>
      <c r="H1239" s="1130">
        <f>I1244</f>
        <v>96682000</v>
      </c>
      <c r="I1239" s="1130">
        <f>J1244</f>
        <v>69271000</v>
      </c>
      <c r="J1239" s="1130">
        <f>K1244</f>
        <v>48102000</v>
      </c>
      <c r="K1239" s="1130">
        <v>29333000</v>
      </c>
      <c r="L1239" s="1143"/>
      <c r="M1239" s="1143"/>
      <c r="N1239" s="1143"/>
      <c r="O1239" s="1143"/>
      <c r="P1239" s="1143"/>
      <c r="Q1239" s="1143"/>
      <c r="R1239" s="1110"/>
      <c r="S1239" s="1144"/>
      <c r="T1239" s="1144"/>
      <c r="U1239" s="1144"/>
      <c r="V1239" s="1144"/>
      <c r="W1239" s="1144"/>
      <c r="X1239" s="1144"/>
      <c r="Y1239" s="1144"/>
      <c r="Z1239" s="1144"/>
      <c r="AA1239" s="1144"/>
      <c r="AB1239" s="1144"/>
      <c r="AC1239" s="1144"/>
      <c r="AD1239" s="1144"/>
      <c r="AE1239" s="1144"/>
      <c r="AF1239" s="1144"/>
      <c r="AG1239" s="1144"/>
      <c r="AH1239" s="1144"/>
      <c r="AI1239" s="1144"/>
      <c r="AJ1239" s="1144"/>
      <c r="AK1239" s="1144"/>
      <c r="AL1239" s="1144"/>
      <c r="AM1239" s="1144"/>
      <c r="AN1239" s="1144"/>
      <c r="AO1239" s="1144"/>
      <c r="AP1239" s="1144"/>
      <c r="AQ1239" s="1144"/>
      <c r="AR1239" s="1144"/>
      <c r="AS1239" s="1144"/>
      <c r="AT1239" s="1144"/>
      <c r="AU1239" s="1144"/>
      <c r="AV1239" s="1144"/>
      <c r="AW1239" s="1144"/>
      <c r="AX1239" s="1144"/>
      <c r="AY1239" s="1144"/>
      <c r="AZ1239" s="1144"/>
      <c r="BA1239" s="1144"/>
      <c r="BB1239" s="1144"/>
      <c r="BC1239" s="1144"/>
      <c r="BD1239" s="1144"/>
      <c r="BE1239" s="1144"/>
      <c r="BF1239" s="1144"/>
      <c r="BG1239" s="1144"/>
      <c r="BH1239" s="1144"/>
      <c r="BI1239" s="1144"/>
      <c r="BJ1239" s="1144"/>
      <c r="BK1239" s="1144"/>
      <c r="BL1239" s="1144"/>
      <c r="BM1239" s="1144"/>
      <c r="BN1239" s="1144"/>
      <c r="BO1239" s="1144"/>
      <c r="BP1239" s="1144"/>
      <c r="BQ1239" s="1144"/>
      <c r="BR1239" s="1144"/>
      <c r="BS1239" s="1144"/>
      <c r="BT1239" s="1144"/>
    </row>
    <row r="1240" spans="1:72" s="450" customFormat="1" ht="16.350000000000001" customHeight="1" outlineLevel="2">
      <c r="A1240" s="1105"/>
      <c r="B1240" s="1133" t="s">
        <v>839</v>
      </c>
      <c r="C1240" s="1130"/>
      <c r="D1240" s="1130"/>
      <c r="E1240" s="1130"/>
      <c r="F1240" s="1130"/>
      <c r="G1240" s="1130"/>
      <c r="H1240" s="1130"/>
      <c r="I1240" s="1130"/>
      <c r="J1240" s="1130"/>
      <c r="K1240" s="1130"/>
      <c r="L1240" s="1134"/>
      <c r="M1240" s="1134"/>
      <c r="N1240" s="1134"/>
      <c r="O1240" s="1134"/>
      <c r="P1240" s="1134"/>
      <c r="Q1240" s="1134"/>
      <c r="R1240" s="1110"/>
      <c r="S1240" s="1135"/>
      <c r="T1240" s="1135"/>
      <c r="U1240" s="1135"/>
      <c r="V1240" s="1135"/>
      <c r="W1240" s="1135"/>
      <c r="X1240" s="1135"/>
      <c r="Y1240" s="1135"/>
      <c r="Z1240" s="1135"/>
      <c r="AA1240" s="1135"/>
      <c r="AB1240" s="1135"/>
      <c r="AC1240" s="1135"/>
      <c r="AD1240" s="1135"/>
      <c r="AE1240" s="1135"/>
      <c r="AF1240" s="1135"/>
      <c r="AG1240" s="1135"/>
      <c r="AH1240" s="1135"/>
      <c r="AI1240" s="1135"/>
      <c r="AJ1240" s="1135"/>
      <c r="AK1240" s="1135"/>
      <c r="AL1240" s="1135"/>
      <c r="AM1240" s="1135"/>
      <c r="AN1240" s="1135"/>
      <c r="AO1240" s="1135"/>
      <c r="AP1240" s="1135"/>
      <c r="AQ1240" s="1135"/>
      <c r="AR1240" s="1135"/>
      <c r="AS1240" s="1135"/>
      <c r="AT1240" s="1135"/>
      <c r="AU1240" s="1135"/>
      <c r="AV1240" s="1135"/>
      <c r="AW1240" s="1135"/>
      <c r="AX1240" s="1135"/>
      <c r="AY1240" s="1135"/>
      <c r="AZ1240" s="1135"/>
      <c r="BA1240" s="1135"/>
      <c r="BB1240" s="1135"/>
      <c r="BC1240" s="1135"/>
      <c r="BD1240" s="1135"/>
      <c r="BE1240" s="1135"/>
      <c r="BF1240" s="1135"/>
      <c r="BG1240" s="1135"/>
      <c r="BH1240" s="1135"/>
      <c r="BI1240" s="1135"/>
      <c r="BJ1240" s="1135"/>
      <c r="BK1240" s="1135"/>
      <c r="BL1240" s="1135"/>
      <c r="BM1240" s="1135"/>
      <c r="BN1240" s="1135"/>
      <c r="BO1240" s="1135"/>
      <c r="BP1240" s="1135"/>
      <c r="BQ1240" s="1135"/>
      <c r="BR1240" s="1135"/>
      <c r="BS1240" s="1135"/>
      <c r="BT1240" s="1135"/>
    </row>
    <row r="1241" spans="1:72" s="450" customFormat="1" ht="16.350000000000001" customHeight="1" outlineLevel="2">
      <c r="A1241" s="1105"/>
      <c r="B1241" s="1133" t="s">
        <v>53</v>
      </c>
      <c r="C1241" s="1130"/>
      <c r="D1241" s="1130">
        <v>83765000</v>
      </c>
      <c r="E1241" s="1130">
        <v>44686000</v>
      </c>
      <c r="F1241" s="1130">
        <v>45262000</v>
      </c>
      <c r="G1241" s="1130">
        <v>110407000</v>
      </c>
      <c r="H1241" s="1130">
        <v>60418000</v>
      </c>
      <c r="I1241" s="1130">
        <v>41074000</v>
      </c>
      <c r="J1241" s="1130">
        <v>31465000</v>
      </c>
      <c r="K1241" s="1130">
        <v>29058000</v>
      </c>
      <c r="L1241" s="1134"/>
      <c r="M1241" s="1134"/>
      <c r="N1241" s="1134"/>
      <c r="O1241" s="1134"/>
      <c r="P1241" s="1134"/>
      <c r="Q1241" s="1134"/>
      <c r="R1241" s="1110"/>
      <c r="S1241" s="1135"/>
      <c r="T1241" s="1135"/>
      <c r="U1241" s="1135"/>
      <c r="V1241" s="1135"/>
      <c r="W1241" s="1135"/>
      <c r="X1241" s="1135"/>
      <c r="Y1241" s="1135"/>
      <c r="Z1241" s="1135"/>
      <c r="AA1241" s="1135"/>
      <c r="AB1241" s="1135"/>
      <c r="AC1241" s="1135"/>
      <c r="AD1241" s="1135"/>
      <c r="AE1241" s="1135"/>
      <c r="AF1241" s="1135"/>
      <c r="AG1241" s="1135"/>
      <c r="AH1241" s="1135"/>
      <c r="AI1241" s="1135"/>
      <c r="AJ1241" s="1135"/>
      <c r="AK1241" s="1135"/>
      <c r="AL1241" s="1135"/>
      <c r="AM1241" s="1135"/>
      <c r="AN1241" s="1135"/>
      <c r="AO1241" s="1135"/>
      <c r="AP1241" s="1135"/>
      <c r="AQ1241" s="1135"/>
      <c r="AR1241" s="1135"/>
      <c r="AS1241" s="1135"/>
      <c r="AT1241" s="1135"/>
      <c r="AU1241" s="1135"/>
      <c r="AV1241" s="1135"/>
      <c r="AW1241" s="1135"/>
      <c r="AX1241" s="1135"/>
      <c r="AY1241" s="1135"/>
      <c r="AZ1241" s="1135"/>
      <c r="BA1241" s="1135"/>
      <c r="BB1241" s="1135"/>
      <c r="BC1241" s="1135"/>
      <c r="BD1241" s="1135"/>
      <c r="BE1241" s="1135"/>
      <c r="BF1241" s="1135"/>
      <c r="BG1241" s="1135"/>
      <c r="BH1241" s="1135"/>
      <c r="BI1241" s="1135"/>
      <c r="BJ1241" s="1135"/>
      <c r="BK1241" s="1135"/>
      <c r="BL1241" s="1135"/>
      <c r="BM1241" s="1135"/>
      <c r="BN1241" s="1135"/>
      <c r="BO1241" s="1135"/>
      <c r="BP1241" s="1135"/>
      <c r="BQ1241" s="1135"/>
      <c r="BR1241" s="1135"/>
      <c r="BS1241" s="1135"/>
      <c r="BT1241" s="1135"/>
    </row>
    <row r="1242" spans="1:72" s="450" customFormat="1" ht="16.350000000000001" customHeight="1" outlineLevel="2">
      <c r="A1242" s="1105"/>
      <c r="B1242" s="1133" t="s">
        <v>840</v>
      </c>
      <c r="C1242" s="1130"/>
      <c r="D1242" s="1130"/>
      <c r="E1242" s="1130">
        <v>0</v>
      </c>
      <c r="F1242" s="1130">
        <v>0</v>
      </c>
      <c r="G1242" s="1130">
        <v>0</v>
      </c>
      <c r="H1242" s="1130">
        <v>0</v>
      </c>
      <c r="I1242" s="1130">
        <v>0</v>
      </c>
      <c r="J1242" s="1130">
        <v>0</v>
      </c>
      <c r="K1242" s="1130">
        <v>0</v>
      </c>
      <c r="L1242" s="1134"/>
      <c r="M1242" s="1134"/>
      <c r="N1242" s="1134"/>
      <c r="O1242" s="1134"/>
      <c r="P1242" s="1134"/>
      <c r="Q1242" s="1134"/>
      <c r="R1242" s="1110"/>
      <c r="S1242" s="1135"/>
      <c r="T1242" s="1135"/>
      <c r="U1242" s="1135"/>
      <c r="V1242" s="1135"/>
      <c r="W1242" s="1135"/>
      <c r="X1242" s="1135"/>
      <c r="Y1242" s="1135"/>
      <c r="Z1242" s="1135"/>
      <c r="AA1242" s="1135"/>
      <c r="AB1242" s="1135"/>
      <c r="AC1242" s="1135"/>
      <c r="AD1242" s="1135"/>
      <c r="AE1242" s="1135"/>
      <c r="AF1242" s="1135"/>
      <c r="AG1242" s="1135"/>
      <c r="AH1242" s="1135"/>
      <c r="AI1242" s="1135"/>
      <c r="AJ1242" s="1135"/>
      <c r="AK1242" s="1135"/>
      <c r="AL1242" s="1135"/>
      <c r="AM1242" s="1135"/>
      <c r="AN1242" s="1135"/>
      <c r="AO1242" s="1135"/>
      <c r="AP1242" s="1135"/>
      <c r="AQ1242" s="1135"/>
      <c r="AR1242" s="1135"/>
      <c r="AS1242" s="1135"/>
      <c r="AT1242" s="1135"/>
      <c r="AU1242" s="1135"/>
      <c r="AV1242" s="1135"/>
      <c r="AW1242" s="1135"/>
      <c r="AX1242" s="1135"/>
      <c r="AY1242" s="1135"/>
      <c r="AZ1242" s="1135"/>
      <c r="BA1242" s="1135"/>
      <c r="BB1242" s="1135"/>
      <c r="BC1242" s="1135"/>
      <c r="BD1242" s="1135"/>
      <c r="BE1242" s="1135"/>
      <c r="BF1242" s="1135"/>
      <c r="BG1242" s="1135"/>
      <c r="BH1242" s="1135"/>
      <c r="BI1242" s="1135"/>
      <c r="BJ1242" s="1135"/>
      <c r="BK1242" s="1135"/>
      <c r="BL1242" s="1135"/>
      <c r="BM1242" s="1135"/>
      <c r="BN1242" s="1135"/>
      <c r="BO1242" s="1135"/>
      <c r="BP1242" s="1135"/>
      <c r="BQ1242" s="1135"/>
      <c r="BR1242" s="1135"/>
      <c r="BS1242" s="1135"/>
      <c r="BT1242" s="1135"/>
    </row>
    <row r="1243" spans="1:72" s="450" customFormat="1" ht="16.350000000000001" customHeight="1" outlineLevel="2">
      <c r="A1243" s="1105"/>
      <c r="B1243" s="1133" t="s">
        <v>54</v>
      </c>
      <c r="C1243" s="1130"/>
      <c r="D1243" s="1130">
        <v>-67651000</v>
      </c>
      <c r="E1243" s="1130">
        <v>-27404000</v>
      </c>
      <c r="F1243" s="1130">
        <v>-27220000</v>
      </c>
      <c r="G1243" s="1130">
        <v>-19889000</v>
      </c>
      <c r="H1243" s="1130">
        <v>-16510000</v>
      </c>
      <c r="I1243" s="1130">
        <v>-13663000</v>
      </c>
      <c r="J1243" s="1130">
        <v>-10296000</v>
      </c>
      <c r="K1243" s="1130">
        <v>-10289000</v>
      </c>
      <c r="L1243" s="1134"/>
      <c r="M1243" s="1134"/>
      <c r="N1243" s="1134"/>
      <c r="O1243" s="1134"/>
      <c r="P1243" s="1134"/>
      <c r="Q1243" s="1134"/>
      <c r="R1243" s="1110"/>
      <c r="S1243" s="1135"/>
      <c r="T1243" s="1135"/>
      <c r="U1243" s="1135"/>
      <c r="V1243" s="1135"/>
      <c r="W1243" s="1135"/>
      <c r="X1243" s="1135"/>
      <c r="Y1243" s="1135"/>
      <c r="Z1243" s="1135"/>
      <c r="AA1243" s="1135"/>
      <c r="AB1243" s="1135"/>
      <c r="AC1243" s="1135"/>
      <c r="AD1243" s="1135"/>
      <c r="AE1243" s="1135"/>
      <c r="AF1243" s="1135"/>
      <c r="AG1243" s="1135"/>
      <c r="AH1243" s="1135"/>
      <c r="AI1243" s="1135"/>
      <c r="AJ1243" s="1135"/>
      <c r="AK1243" s="1135"/>
      <c r="AL1243" s="1135"/>
      <c r="AM1243" s="1135"/>
      <c r="AN1243" s="1135"/>
      <c r="AO1243" s="1135"/>
      <c r="AP1243" s="1135"/>
      <c r="AQ1243" s="1135"/>
      <c r="AR1243" s="1135"/>
      <c r="AS1243" s="1135"/>
      <c r="AT1243" s="1135"/>
      <c r="AU1243" s="1135"/>
      <c r="AV1243" s="1135"/>
      <c r="AW1243" s="1135"/>
      <c r="AX1243" s="1135"/>
      <c r="AY1243" s="1135"/>
      <c r="AZ1243" s="1135"/>
      <c r="BA1243" s="1135"/>
      <c r="BB1243" s="1135"/>
      <c r="BC1243" s="1135"/>
      <c r="BD1243" s="1135"/>
      <c r="BE1243" s="1135"/>
      <c r="BF1243" s="1135"/>
      <c r="BG1243" s="1135"/>
      <c r="BH1243" s="1135"/>
      <c r="BI1243" s="1135"/>
      <c r="BJ1243" s="1135"/>
      <c r="BK1243" s="1135"/>
      <c r="BL1243" s="1135"/>
      <c r="BM1243" s="1135"/>
      <c r="BN1243" s="1135"/>
      <c r="BO1243" s="1135"/>
      <c r="BP1243" s="1135"/>
      <c r="BQ1243" s="1135"/>
      <c r="BR1243" s="1135"/>
      <c r="BS1243" s="1135"/>
      <c r="BT1243" s="1135"/>
    </row>
    <row r="1244" spans="1:72" s="1141" customFormat="1" ht="16.350000000000001" customHeight="1" outlineLevel="2">
      <c r="A1244" s="1105"/>
      <c r="B1244" s="1137" t="s">
        <v>842</v>
      </c>
      <c r="C1244" s="1138"/>
      <c r="D1244" s="1138">
        <v>282546000</v>
      </c>
      <c r="E1244" s="1138">
        <v>266432000</v>
      </c>
      <c r="F1244" s="1138">
        <v>249150000</v>
      </c>
      <c r="G1244" s="1138">
        <f>G1239+G1241+G1242+G1243</f>
        <v>231108000</v>
      </c>
      <c r="H1244" s="1138">
        <f>H1239+H1241+H1242+H1243</f>
        <v>140590000</v>
      </c>
      <c r="I1244" s="1138">
        <f>I1239+I1241+I1242+I1243</f>
        <v>96682000</v>
      </c>
      <c r="J1244" s="1138">
        <f>J1239+J1241+J1242+J1243</f>
        <v>69271000</v>
      </c>
      <c r="K1244" s="1138">
        <f>K1239+K1241+K1242+K1243</f>
        <v>48102000</v>
      </c>
      <c r="L1244" s="1139"/>
      <c r="M1244" s="1139"/>
      <c r="N1244" s="1139"/>
      <c r="O1244" s="1139"/>
      <c r="P1244" s="1139"/>
      <c r="Q1244" s="1139"/>
      <c r="R1244" s="1110"/>
      <c r="S1244" s="1140"/>
      <c r="T1244" s="1140"/>
      <c r="U1244" s="1140"/>
      <c r="V1244" s="1140"/>
      <c r="W1244" s="1140"/>
      <c r="X1244" s="1140"/>
      <c r="Y1244" s="1140"/>
      <c r="Z1244" s="1140"/>
      <c r="AA1244" s="1140"/>
      <c r="AB1244" s="1140"/>
      <c r="AC1244" s="1140"/>
      <c r="AD1244" s="1140"/>
      <c r="AE1244" s="1140"/>
      <c r="AF1244" s="1140"/>
      <c r="AG1244" s="1140"/>
      <c r="AH1244" s="1140"/>
      <c r="AI1244" s="1140"/>
      <c r="AJ1244" s="1140"/>
      <c r="AK1244" s="1140"/>
      <c r="AL1244" s="1140"/>
      <c r="AM1244" s="1140"/>
      <c r="AN1244" s="1140"/>
      <c r="AO1244" s="1140"/>
      <c r="AP1244" s="1140"/>
      <c r="AQ1244" s="1140"/>
      <c r="AR1244" s="1140"/>
      <c r="AS1244" s="1140"/>
      <c r="AT1244" s="1140"/>
      <c r="AU1244" s="1140"/>
      <c r="AV1244" s="1140"/>
      <c r="AW1244" s="1140"/>
      <c r="AX1244" s="1140"/>
      <c r="AY1244" s="1140"/>
      <c r="AZ1244" s="1140"/>
      <c r="BA1244" s="1140"/>
      <c r="BB1244" s="1140"/>
      <c r="BC1244" s="1140"/>
      <c r="BD1244" s="1140"/>
      <c r="BE1244" s="1140"/>
      <c r="BF1244" s="1140"/>
      <c r="BG1244" s="1140"/>
      <c r="BH1244" s="1140"/>
      <c r="BI1244" s="1140"/>
      <c r="BJ1244" s="1140"/>
      <c r="BK1244" s="1140"/>
      <c r="BL1244" s="1140"/>
      <c r="BM1244" s="1140"/>
      <c r="BN1244" s="1140"/>
      <c r="BO1244" s="1140"/>
      <c r="BP1244" s="1140"/>
      <c r="BQ1244" s="1140"/>
      <c r="BR1244" s="1140"/>
      <c r="BS1244" s="1140"/>
      <c r="BT1244" s="1140"/>
    </row>
    <row r="1245" spans="1:72" s="1145" customFormat="1" ht="16.350000000000001" customHeight="1" outlineLevel="2">
      <c r="A1245" s="1105"/>
      <c r="B1245" s="1142"/>
      <c r="C1245" s="1130"/>
      <c r="D1245" s="1130"/>
      <c r="E1245" s="1130"/>
      <c r="F1245" s="1130"/>
      <c r="G1245" s="1130"/>
      <c r="H1245" s="1130"/>
      <c r="I1245" s="1130"/>
      <c r="J1245" s="1130"/>
      <c r="K1245" s="1130"/>
      <c r="L1245" s="1143"/>
      <c r="M1245" s="1143"/>
      <c r="N1245" s="1143"/>
      <c r="O1245" s="1143"/>
      <c r="P1245" s="1143"/>
      <c r="Q1245" s="1143"/>
      <c r="R1245" s="1110"/>
      <c r="S1245" s="1144"/>
      <c r="T1245" s="1144"/>
      <c r="U1245" s="1144"/>
      <c r="V1245" s="1144"/>
      <c r="W1245" s="1144"/>
      <c r="X1245" s="1144"/>
      <c r="Y1245" s="1144"/>
      <c r="Z1245" s="1144"/>
      <c r="AA1245" s="1144"/>
      <c r="AB1245" s="1144"/>
      <c r="AC1245" s="1144"/>
      <c r="AD1245" s="1144"/>
      <c r="AE1245" s="1144"/>
      <c r="AF1245" s="1144"/>
      <c r="AG1245" s="1144"/>
      <c r="AH1245" s="1144"/>
      <c r="AI1245" s="1144"/>
      <c r="AJ1245" s="1144"/>
      <c r="AK1245" s="1144"/>
      <c r="AL1245" s="1144"/>
      <c r="AM1245" s="1144"/>
      <c r="AN1245" s="1144"/>
      <c r="AO1245" s="1144"/>
      <c r="AP1245" s="1144"/>
      <c r="AQ1245" s="1144"/>
      <c r="AR1245" s="1144"/>
      <c r="AS1245" s="1144"/>
      <c r="AT1245" s="1144"/>
      <c r="AU1245" s="1144"/>
      <c r="AV1245" s="1144"/>
      <c r="AW1245" s="1144"/>
      <c r="AX1245" s="1144"/>
      <c r="AY1245" s="1144"/>
      <c r="AZ1245" s="1144"/>
      <c r="BA1245" s="1144"/>
      <c r="BB1245" s="1144"/>
      <c r="BC1245" s="1144"/>
      <c r="BD1245" s="1144"/>
      <c r="BE1245" s="1144"/>
      <c r="BF1245" s="1144"/>
      <c r="BG1245" s="1144"/>
      <c r="BH1245" s="1144"/>
      <c r="BI1245" s="1144"/>
      <c r="BJ1245" s="1144"/>
      <c r="BK1245" s="1144"/>
      <c r="BL1245" s="1144"/>
      <c r="BM1245" s="1144"/>
      <c r="BN1245" s="1144"/>
      <c r="BO1245" s="1144"/>
      <c r="BP1245" s="1144"/>
      <c r="BQ1245" s="1144"/>
      <c r="BR1245" s="1144"/>
      <c r="BS1245" s="1144"/>
      <c r="BT1245" s="1144"/>
    </row>
    <row r="1246" spans="1:72" s="1145" customFormat="1" ht="16.350000000000001" customHeight="1" outlineLevel="2">
      <c r="A1246" s="1105"/>
      <c r="B1246" s="1142" t="s">
        <v>854</v>
      </c>
      <c r="C1246" s="1130"/>
      <c r="D1246" s="1130">
        <v>-134425000</v>
      </c>
      <c r="E1246" s="1130">
        <v>-102119000</v>
      </c>
      <c r="F1246" s="1130">
        <v>-71720000</v>
      </c>
      <c r="G1246" s="1130">
        <f>H1249</f>
        <v>-48059000</v>
      </c>
      <c r="H1246" s="1130">
        <f>I1249</f>
        <v>-34142000</v>
      </c>
      <c r="I1246" s="1130">
        <f>J1249</f>
        <v>-23537000</v>
      </c>
      <c r="J1246" s="1130">
        <f>K1249</f>
        <v>-14517000</v>
      </c>
      <c r="K1246" s="1130">
        <v>-9767000</v>
      </c>
      <c r="L1246" s="1143"/>
      <c r="M1246" s="1143"/>
      <c r="N1246" s="1143"/>
      <c r="O1246" s="1143"/>
      <c r="P1246" s="1143"/>
      <c r="Q1246" s="1143"/>
      <c r="R1246" s="1110"/>
      <c r="S1246" s="1144"/>
      <c r="T1246" s="1144"/>
      <c r="U1246" s="1144"/>
      <c r="V1246" s="1144"/>
      <c r="W1246" s="1144"/>
      <c r="X1246" s="1144"/>
      <c r="Y1246" s="1144"/>
      <c r="Z1246" s="1144"/>
      <c r="AA1246" s="1144"/>
      <c r="AB1246" s="1144"/>
      <c r="AC1246" s="1144"/>
      <c r="AD1246" s="1144"/>
      <c r="AE1246" s="1144"/>
      <c r="AF1246" s="1144"/>
      <c r="AG1246" s="1144"/>
      <c r="AH1246" s="1144"/>
      <c r="AI1246" s="1144"/>
      <c r="AJ1246" s="1144"/>
      <c r="AK1246" s="1144"/>
      <c r="AL1246" s="1144"/>
      <c r="AM1246" s="1144"/>
      <c r="AN1246" s="1144"/>
      <c r="AO1246" s="1144"/>
      <c r="AP1246" s="1144"/>
      <c r="AQ1246" s="1144"/>
      <c r="AR1246" s="1144"/>
      <c r="AS1246" s="1144"/>
      <c r="AT1246" s="1144"/>
      <c r="AU1246" s="1144"/>
      <c r="AV1246" s="1144"/>
      <c r="AW1246" s="1144"/>
      <c r="AX1246" s="1144"/>
      <c r="AY1246" s="1144"/>
      <c r="AZ1246" s="1144"/>
      <c r="BA1246" s="1144"/>
      <c r="BB1246" s="1144"/>
      <c r="BC1246" s="1144"/>
      <c r="BD1246" s="1144"/>
      <c r="BE1246" s="1144"/>
      <c r="BF1246" s="1144"/>
      <c r="BG1246" s="1144"/>
      <c r="BH1246" s="1144"/>
      <c r="BI1246" s="1144"/>
      <c r="BJ1246" s="1144"/>
      <c r="BK1246" s="1144"/>
      <c r="BL1246" s="1144"/>
      <c r="BM1246" s="1144"/>
      <c r="BN1246" s="1144"/>
      <c r="BO1246" s="1144"/>
      <c r="BP1246" s="1144"/>
      <c r="BQ1246" s="1144"/>
      <c r="BR1246" s="1144"/>
      <c r="BS1246" s="1144"/>
      <c r="BT1246" s="1144"/>
    </row>
    <row r="1247" spans="1:72" s="450" customFormat="1" ht="16.350000000000001" customHeight="1" outlineLevel="2">
      <c r="A1247" s="1105"/>
      <c r="B1247" s="1133" t="s">
        <v>94</v>
      </c>
      <c r="C1247" s="1130"/>
      <c r="D1247" s="1130">
        <v>-62161000</v>
      </c>
      <c r="E1247" s="1130">
        <v>-59710000</v>
      </c>
      <c r="F1247" s="1130">
        <v>-57620000</v>
      </c>
      <c r="G1247" s="1130">
        <v>-43550000</v>
      </c>
      <c r="H1247" s="1130">
        <v>-30427000</v>
      </c>
      <c r="I1247" s="1130">
        <v>-24268000</v>
      </c>
      <c r="J1247" s="1130">
        <v>-19316000</v>
      </c>
      <c r="K1247" s="1130">
        <v>-15040000</v>
      </c>
      <c r="L1247" s="1134"/>
      <c r="M1247" s="1134"/>
      <c r="N1247" s="1134"/>
      <c r="O1247" s="1134"/>
      <c r="P1247" s="1134"/>
      <c r="Q1247" s="1134"/>
      <c r="R1247" s="1110"/>
      <c r="S1247" s="1135"/>
      <c r="T1247" s="1135"/>
      <c r="U1247" s="1135"/>
      <c r="V1247" s="1135"/>
      <c r="W1247" s="1135"/>
      <c r="X1247" s="1135"/>
      <c r="Y1247" s="1135"/>
      <c r="Z1247" s="1135"/>
      <c r="AA1247" s="1135"/>
      <c r="AB1247" s="1135"/>
      <c r="AC1247" s="1135"/>
      <c r="AD1247" s="1135"/>
      <c r="AE1247" s="1135"/>
      <c r="AF1247" s="1135"/>
      <c r="AG1247" s="1135"/>
      <c r="AH1247" s="1135"/>
      <c r="AI1247" s="1135"/>
      <c r="AJ1247" s="1135"/>
      <c r="AK1247" s="1135"/>
      <c r="AL1247" s="1135"/>
      <c r="AM1247" s="1135"/>
      <c r="AN1247" s="1135"/>
      <c r="AO1247" s="1135"/>
      <c r="AP1247" s="1135"/>
      <c r="AQ1247" s="1135"/>
      <c r="AR1247" s="1135"/>
      <c r="AS1247" s="1135"/>
      <c r="AT1247" s="1135"/>
      <c r="AU1247" s="1135"/>
      <c r="AV1247" s="1135"/>
      <c r="AW1247" s="1135"/>
      <c r="AX1247" s="1135"/>
      <c r="AY1247" s="1135"/>
      <c r="AZ1247" s="1135"/>
      <c r="BA1247" s="1135"/>
      <c r="BB1247" s="1135"/>
      <c r="BC1247" s="1135"/>
      <c r="BD1247" s="1135"/>
      <c r="BE1247" s="1135"/>
      <c r="BF1247" s="1135"/>
      <c r="BG1247" s="1135"/>
      <c r="BH1247" s="1135"/>
      <c r="BI1247" s="1135"/>
      <c r="BJ1247" s="1135"/>
      <c r="BK1247" s="1135"/>
      <c r="BL1247" s="1135"/>
      <c r="BM1247" s="1135"/>
      <c r="BN1247" s="1135"/>
      <c r="BO1247" s="1135"/>
      <c r="BP1247" s="1135"/>
      <c r="BQ1247" s="1135"/>
      <c r="BR1247" s="1135"/>
      <c r="BS1247" s="1135"/>
      <c r="BT1247" s="1135"/>
    </row>
    <row r="1248" spans="1:72" s="450" customFormat="1" ht="16.350000000000001" customHeight="1" outlineLevel="2">
      <c r="A1248" s="1105"/>
      <c r="B1248" s="1133" t="s">
        <v>54</v>
      </c>
      <c r="C1248" s="1130"/>
      <c r="D1248" s="1130">
        <v>58025000</v>
      </c>
      <c r="E1248" s="1130">
        <v>27404000</v>
      </c>
      <c r="F1248" s="1130">
        <v>27221000</v>
      </c>
      <c r="G1248" s="1130">
        <v>19889000</v>
      </c>
      <c r="H1248" s="1130">
        <v>16510000</v>
      </c>
      <c r="I1248" s="1130">
        <v>13663000</v>
      </c>
      <c r="J1248" s="1130">
        <v>10296000</v>
      </c>
      <c r="K1248" s="1130">
        <v>10290000</v>
      </c>
      <c r="L1248" s="1134"/>
      <c r="M1248" s="1134"/>
      <c r="N1248" s="1134"/>
      <c r="O1248" s="1134"/>
      <c r="P1248" s="1134"/>
      <c r="Q1248" s="1134"/>
      <c r="R1248" s="1110"/>
      <c r="S1248" s="1135"/>
      <c r="T1248" s="1135"/>
      <c r="U1248" s="1135"/>
      <c r="V1248" s="1135"/>
      <c r="W1248" s="1135"/>
      <c r="X1248" s="1135"/>
      <c r="Y1248" s="1135"/>
      <c r="Z1248" s="1135"/>
      <c r="AA1248" s="1135"/>
      <c r="AB1248" s="1135"/>
      <c r="AC1248" s="1135"/>
      <c r="AD1248" s="1135"/>
      <c r="AE1248" s="1135"/>
      <c r="AF1248" s="1135"/>
      <c r="AG1248" s="1135"/>
      <c r="AH1248" s="1135"/>
      <c r="AI1248" s="1135"/>
      <c r="AJ1248" s="1135"/>
      <c r="AK1248" s="1135"/>
      <c r="AL1248" s="1135"/>
      <c r="AM1248" s="1135"/>
      <c r="AN1248" s="1135"/>
      <c r="AO1248" s="1135"/>
      <c r="AP1248" s="1135"/>
      <c r="AQ1248" s="1135"/>
      <c r="AR1248" s="1135"/>
      <c r="AS1248" s="1135"/>
      <c r="AT1248" s="1135"/>
      <c r="AU1248" s="1135"/>
      <c r="AV1248" s="1135"/>
      <c r="AW1248" s="1135"/>
      <c r="AX1248" s="1135"/>
      <c r="AY1248" s="1135"/>
      <c r="AZ1248" s="1135"/>
      <c r="BA1248" s="1135"/>
      <c r="BB1248" s="1135"/>
      <c r="BC1248" s="1135"/>
      <c r="BD1248" s="1135"/>
      <c r="BE1248" s="1135"/>
      <c r="BF1248" s="1135"/>
      <c r="BG1248" s="1135"/>
      <c r="BH1248" s="1135"/>
      <c r="BI1248" s="1135"/>
      <c r="BJ1248" s="1135"/>
      <c r="BK1248" s="1135"/>
      <c r="BL1248" s="1135"/>
      <c r="BM1248" s="1135"/>
      <c r="BN1248" s="1135"/>
      <c r="BO1248" s="1135"/>
      <c r="BP1248" s="1135"/>
      <c r="BQ1248" s="1135"/>
      <c r="BR1248" s="1135"/>
      <c r="BS1248" s="1135"/>
      <c r="BT1248" s="1135"/>
    </row>
    <row r="1249" spans="1:72" s="1141" customFormat="1" ht="16.350000000000001" customHeight="1" outlineLevel="2">
      <c r="A1249" s="1105"/>
      <c r="B1249" s="1137" t="s">
        <v>844</v>
      </c>
      <c r="C1249" s="1138"/>
      <c r="D1249" s="1138">
        <v>-138561000</v>
      </c>
      <c r="E1249" s="1138">
        <v>-134425000</v>
      </c>
      <c r="F1249" s="1138">
        <v>-102119000</v>
      </c>
      <c r="G1249" s="1138">
        <f>G1246+G1247+G1248</f>
        <v>-71720000</v>
      </c>
      <c r="H1249" s="1138">
        <f>H1246+H1247+H1248</f>
        <v>-48059000</v>
      </c>
      <c r="I1249" s="1138">
        <f>I1246+I1247+I1248</f>
        <v>-34142000</v>
      </c>
      <c r="J1249" s="1138">
        <f>J1246+J1247+J1248</f>
        <v>-23537000</v>
      </c>
      <c r="K1249" s="1138">
        <f>K1246+K1247+K1248</f>
        <v>-14517000</v>
      </c>
      <c r="L1249" s="1139"/>
      <c r="M1249" s="1139"/>
      <c r="N1249" s="1139"/>
      <c r="O1249" s="1139"/>
      <c r="P1249" s="1139"/>
      <c r="Q1249" s="1139"/>
      <c r="R1249" s="1110"/>
      <c r="S1249" s="1140"/>
      <c r="T1249" s="1140"/>
      <c r="U1249" s="1140"/>
      <c r="V1249" s="1140"/>
      <c r="W1249" s="1140"/>
      <c r="X1249" s="1140"/>
      <c r="Y1249" s="1140"/>
      <c r="Z1249" s="1140"/>
      <c r="AA1249" s="1140"/>
      <c r="AB1249" s="1140"/>
      <c r="AC1249" s="1140"/>
      <c r="AD1249" s="1140"/>
      <c r="AE1249" s="1140"/>
      <c r="AF1249" s="1140"/>
      <c r="AG1249" s="1140"/>
      <c r="AH1249" s="1140"/>
      <c r="AI1249" s="1140"/>
      <c r="AJ1249" s="1140"/>
      <c r="AK1249" s="1140"/>
      <c r="AL1249" s="1140"/>
      <c r="AM1249" s="1140"/>
      <c r="AN1249" s="1140"/>
      <c r="AO1249" s="1140"/>
      <c r="AP1249" s="1140"/>
      <c r="AQ1249" s="1140"/>
      <c r="AR1249" s="1140"/>
      <c r="AS1249" s="1140"/>
      <c r="AT1249" s="1140"/>
      <c r="AU1249" s="1140"/>
      <c r="AV1249" s="1140"/>
      <c r="AW1249" s="1140"/>
      <c r="AX1249" s="1140"/>
      <c r="AY1249" s="1140"/>
      <c r="AZ1249" s="1140"/>
      <c r="BA1249" s="1140"/>
      <c r="BB1249" s="1140"/>
      <c r="BC1249" s="1140"/>
      <c r="BD1249" s="1140"/>
      <c r="BE1249" s="1140"/>
      <c r="BF1249" s="1140"/>
      <c r="BG1249" s="1140"/>
      <c r="BH1249" s="1140"/>
      <c r="BI1249" s="1140"/>
      <c r="BJ1249" s="1140"/>
      <c r="BK1249" s="1140"/>
      <c r="BL1249" s="1140"/>
      <c r="BM1249" s="1140"/>
      <c r="BN1249" s="1140"/>
      <c r="BO1249" s="1140"/>
      <c r="BP1249" s="1140"/>
      <c r="BQ1249" s="1140"/>
      <c r="BR1249" s="1140"/>
      <c r="BS1249" s="1140"/>
      <c r="BT1249" s="1140"/>
    </row>
    <row r="1250" spans="1:72" s="1145" customFormat="1" ht="16.350000000000001" customHeight="1" outlineLevel="2">
      <c r="A1250" s="1105"/>
      <c r="B1250" s="1142"/>
      <c r="C1250" s="1130"/>
      <c r="D1250" s="1130"/>
      <c r="E1250" s="1130"/>
      <c r="F1250" s="1130"/>
      <c r="G1250" s="1130"/>
      <c r="H1250" s="1130"/>
      <c r="I1250" s="1130"/>
      <c r="J1250" s="1130"/>
      <c r="K1250" s="1130"/>
      <c r="L1250" s="1143"/>
      <c r="M1250" s="1143"/>
      <c r="N1250" s="1143"/>
      <c r="O1250" s="1143"/>
      <c r="P1250" s="1143"/>
      <c r="Q1250" s="1143"/>
      <c r="R1250" s="1110"/>
      <c r="S1250" s="1144"/>
      <c r="T1250" s="1144"/>
      <c r="U1250" s="1144"/>
      <c r="V1250" s="1144"/>
      <c r="W1250" s="1144"/>
      <c r="X1250" s="1144"/>
      <c r="Y1250" s="1144"/>
      <c r="Z1250" s="1144"/>
      <c r="AA1250" s="1144"/>
      <c r="AB1250" s="1144"/>
      <c r="AC1250" s="1144"/>
      <c r="AD1250" s="1144"/>
      <c r="AE1250" s="1144"/>
      <c r="AF1250" s="1144"/>
      <c r="AG1250" s="1144"/>
      <c r="AH1250" s="1144"/>
      <c r="AI1250" s="1144"/>
      <c r="AJ1250" s="1144"/>
      <c r="AK1250" s="1144"/>
      <c r="AL1250" s="1144"/>
      <c r="AM1250" s="1144"/>
      <c r="AN1250" s="1144"/>
      <c r="AO1250" s="1144"/>
      <c r="AP1250" s="1144"/>
      <c r="AQ1250" s="1144"/>
      <c r="AR1250" s="1144"/>
      <c r="AS1250" s="1144"/>
      <c r="AT1250" s="1144"/>
      <c r="AU1250" s="1144"/>
      <c r="AV1250" s="1144"/>
      <c r="AW1250" s="1144"/>
      <c r="AX1250" s="1144"/>
      <c r="AY1250" s="1144"/>
      <c r="AZ1250" s="1144"/>
      <c r="BA1250" s="1144"/>
      <c r="BB1250" s="1144"/>
      <c r="BC1250" s="1144"/>
      <c r="BD1250" s="1144"/>
      <c r="BE1250" s="1144"/>
      <c r="BF1250" s="1144"/>
      <c r="BG1250" s="1144"/>
      <c r="BH1250" s="1144"/>
      <c r="BI1250" s="1144"/>
      <c r="BJ1250" s="1144"/>
      <c r="BK1250" s="1144"/>
      <c r="BL1250" s="1144"/>
      <c r="BM1250" s="1144"/>
      <c r="BN1250" s="1144"/>
      <c r="BO1250" s="1144"/>
      <c r="BP1250" s="1144"/>
      <c r="BQ1250" s="1144"/>
      <c r="BR1250" s="1144"/>
      <c r="BS1250" s="1144"/>
      <c r="BT1250" s="1144"/>
    </row>
    <row r="1251" spans="1:72" s="1145" customFormat="1" ht="16.350000000000001" customHeight="1" outlineLevel="2">
      <c r="A1251" s="1105"/>
      <c r="B1251" s="1142" t="s">
        <v>845</v>
      </c>
      <c r="C1251" s="1130"/>
      <c r="D1251" s="1130">
        <v>132007000</v>
      </c>
      <c r="E1251" s="1130">
        <v>147031000</v>
      </c>
      <c r="F1251" s="1130">
        <v>159388000</v>
      </c>
      <c r="G1251" s="1130">
        <f>G1239+G1246</f>
        <v>92531000</v>
      </c>
      <c r="H1251" s="1130">
        <f>H1239+H1246</f>
        <v>62540000</v>
      </c>
      <c r="I1251" s="1130">
        <f>I1239+I1246</f>
        <v>45734000</v>
      </c>
      <c r="J1251" s="1130">
        <f>J1239+J1246</f>
        <v>33585000</v>
      </c>
      <c r="K1251" s="1130">
        <f>K1239+K1246</f>
        <v>19566000</v>
      </c>
      <c r="L1251" s="1143"/>
      <c r="M1251" s="1143"/>
      <c r="N1251" s="1143"/>
      <c r="O1251" s="1143"/>
      <c r="P1251" s="1143"/>
      <c r="Q1251" s="1143"/>
      <c r="R1251" s="1110"/>
      <c r="S1251" s="1144"/>
      <c r="T1251" s="1144"/>
      <c r="U1251" s="1144"/>
      <c r="V1251" s="1144"/>
      <c r="W1251" s="1144"/>
      <c r="X1251" s="1144"/>
      <c r="Y1251" s="1144"/>
      <c r="Z1251" s="1144"/>
      <c r="AA1251" s="1144"/>
      <c r="AB1251" s="1144"/>
      <c r="AC1251" s="1144"/>
      <c r="AD1251" s="1144"/>
      <c r="AE1251" s="1144"/>
      <c r="AF1251" s="1144"/>
      <c r="AG1251" s="1144"/>
      <c r="AH1251" s="1144"/>
      <c r="AI1251" s="1144"/>
      <c r="AJ1251" s="1144"/>
      <c r="AK1251" s="1144"/>
      <c r="AL1251" s="1144"/>
      <c r="AM1251" s="1144"/>
      <c r="AN1251" s="1144"/>
      <c r="AO1251" s="1144"/>
      <c r="AP1251" s="1144"/>
      <c r="AQ1251" s="1144"/>
      <c r="AR1251" s="1144"/>
      <c r="AS1251" s="1144"/>
      <c r="AT1251" s="1144"/>
      <c r="AU1251" s="1144"/>
      <c r="AV1251" s="1144"/>
      <c r="AW1251" s="1144"/>
      <c r="AX1251" s="1144"/>
      <c r="AY1251" s="1144"/>
      <c r="AZ1251" s="1144"/>
      <c r="BA1251" s="1144"/>
      <c r="BB1251" s="1144"/>
      <c r="BC1251" s="1144"/>
      <c r="BD1251" s="1144"/>
      <c r="BE1251" s="1144"/>
      <c r="BF1251" s="1144"/>
      <c r="BG1251" s="1144"/>
      <c r="BH1251" s="1144"/>
      <c r="BI1251" s="1144"/>
      <c r="BJ1251" s="1144"/>
      <c r="BK1251" s="1144"/>
      <c r="BL1251" s="1144"/>
      <c r="BM1251" s="1144"/>
      <c r="BN1251" s="1144"/>
      <c r="BO1251" s="1144"/>
      <c r="BP1251" s="1144"/>
      <c r="BQ1251" s="1144"/>
      <c r="BR1251" s="1144"/>
      <c r="BS1251" s="1144"/>
      <c r="BT1251" s="1144"/>
    </row>
    <row r="1252" spans="1:72" s="1145" customFormat="1" ht="16.350000000000001" customHeight="1" outlineLevel="2">
      <c r="A1252" s="1105"/>
      <c r="B1252" s="1146" t="s">
        <v>846</v>
      </c>
      <c r="C1252" s="1130"/>
      <c r="D1252" s="1130">
        <f>D1253-D1251</f>
        <v>11978000</v>
      </c>
      <c r="E1252" s="1130">
        <f>E1253-E1251</f>
        <v>-15024000</v>
      </c>
      <c r="F1252" s="1130">
        <f t="shared" ref="F1252:K1252" si="158">F1253-F1251</f>
        <v>-12357000</v>
      </c>
      <c r="G1252" s="1130">
        <f t="shared" si="158"/>
        <v>66857000</v>
      </c>
      <c r="H1252" s="1130">
        <f t="shared" si="158"/>
        <v>29991000</v>
      </c>
      <c r="I1252" s="1130">
        <f t="shared" si="158"/>
        <v>16806000</v>
      </c>
      <c r="J1252" s="1130">
        <f t="shared" si="158"/>
        <v>12149000</v>
      </c>
      <c r="K1252" s="1130">
        <f t="shared" si="158"/>
        <v>14019000</v>
      </c>
      <c r="L1252" s="1143"/>
      <c r="M1252" s="1143"/>
      <c r="N1252" s="1143"/>
      <c r="O1252" s="1143"/>
      <c r="P1252" s="1143"/>
      <c r="Q1252" s="1143"/>
      <c r="R1252" s="1110"/>
      <c r="S1252" s="1144"/>
      <c r="T1252" s="1144"/>
      <c r="U1252" s="1144"/>
      <c r="V1252" s="1144"/>
      <c r="W1252" s="1144"/>
      <c r="X1252" s="1144"/>
      <c r="Y1252" s="1144"/>
      <c r="Z1252" s="1144"/>
      <c r="AA1252" s="1144"/>
      <c r="AB1252" s="1144"/>
      <c r="AC1252" s="1144"/>
      <c r="AD1252" s="1144"/>
      <c r="AE1252" s="1144"/>
      <c r="AF1252" s="1144"/>
      <c r="AG1252" s="1144"/>
      <c r="AH1252" s="1144"/>
      <c r="AI1252" s="1144"/>
      <c r="AJ1252" s="1144"/>
      <c r="AK1252" s="1144"/>
      <c r="AL1252" s="1144"/>
      <c r="AM1252" s="1144"/>
      <c r="AN1252" s="1144"/>
      <c r="AO1252" s="1144"/>
      <c r="AP1252" s="1144"/>
      <c r="AQ1252" s="1144"/>
      <c r="AR1252" s="1144"/>
      <c r="AS1252" s="1144"/>
      <c r="AT1252" s="1144"/>
      <c r="AU1252" s="1144"/>
      <c r="AV1252" s="1144"/>
      <c r="AW1252" s="1144"/>
      <c r="AX1252" s="1144"/>
      <c r="AY1252" s="1144"/>
      <c r="AZ1252" s="1144"/>
      <c r="BA1252" s="1144"/>
      <c r="BB1252" s="1144"/>
      <c r="BC1252" s="1144"/>
      <c r="BD1252" s="1144"/>
      <c r="BE1252" s="1144"/>
      <c r="BF1252" s="1144"/>
      <c r="BG1252" s="1144"/>
      <c r="BH1252" s="1144"/>
      <c r="BI1252" s="1144"/>
      <c r="BJ1252" s="1144"/>
      <c r="BK1252" s="1144"/>
      <c r="BL1252" s="1144"/>
      <c r="BM1252" s="1144"/>
      <c r="BN1252" s="1144"/>
      <c r="BO1252" s="1144"/>
      <c r="BP1252" s="1144"/>
      <c r="BQ1252" s="1144"/>
      <c r="BR1252" s="1144"/>
      <c r="BS1252" s="1144"/>
      <c r="BT1252" s="1144"/>
    </row>
    <row r="1253" spans="1:72" s="1141" customFormat="1" ht="16.350000000000001" customHeight="1" outlineLevel="2">
      <c r="A1253" s="1105"/>
      <c r="B1253" s="1137" t="s">
        <v>847</v>
      </c>
      <c r="C1253" s="1138"/>
      <c r="D1253" s="1138">
        <v>143985000</v>
      </c>
      <c r="E1253" s="1138">
        <v>132007000</v>
      </c>
      <c r="F1253" s="1138">
        <v>147031000</v>
      </c>
      <c r="G1253" s="1138">
        <f>G1244+G1249</f>
        <v>159388000</v>
      </c>
      <c r="H1253" s="1138">
        <f>H1244+H1249</f>
        <v>92531000</v>
      </c>
      <c r="I1253" s="1138">
        <f>I1244+I1249</f>
        <v>62540000</v>
      </c>
      <c r="J1253" s="1138">
        <f>J1244+J1249</f>
        <v>45734000</v>
      </c>
      <c r="K1253" s="1138">
        <f>K1244+K1249</f>
        <v>33585000</v>
      </c>
      <c r="L1253" s="1139"/>
      <c r="M1253" s="1139"/>
      <c r="N1253" s="1139"/>
      <c r="O1253" s="1139"/>
      <c r="P1253" s="1139"/>
      <c r="Q1253" s="1139"/>
      <c r="R1253" s="1110"/>
      <c r="S1253" s="1140"/>
      <c r="T1253" s="1140"/>
      <c r="U1253" s="1140"/>
      <c r="V1253" s="1140"/>
      <c r="W1253" s="1140"/>
      <c r="X1253" s="1140"/>
      <c r="Y1253" s="1140"/>
      <c r="Z1253" s="1140"/>
      <c r="AA1253" s="1140"/>
      <c r="AB1253" s="1140"/>
      <c r="AC1253" s="1140"/>
      <c r="AD1253" s="1140"/>
      <c r="AE1253" s="1140"/>
      <c r="AF1253" s="1140"/>
      <c r="AG1253" s="1140"/>
      <c r="AH1253" s="1140"/>
      <c r="AI1253" s="1140"/>
      <c r="AJ1253" s="1140"/>
      <c r="AK1253" s="1140"/>
      <c r="AL1253" s="1140"/>
      <c r="AM1253" s="1140"/>
      <c r="AN1253" s="1140"/>
      <c r="AO1253" s="1140"/>
      <c r="AP1253" s="1140"/>
      <c r="AQ1253" s="1140"/>
      <c r="AR1253" s="1140"/>
      <c r="AS1253" s="1140"/>
      <c r="AT1253" s="1140"/>
      <c r="AU1253" s="1140"/>
      <c r="AV1253" s="1140"/>
      <c r="AW1253" s="1140"/>
      <c r="AX1253" s="1140"/>
      <c r="AY1253" s="1140"/>
      <c r="AZ1253" s="1140"/>
      <c r="BA1253" s="1140"/>
      <c r="BB1253" s="1140"/>
      <c r="BC1253" s="1140"/>
      <c r="BD1253" s="1140"/>
      <c r="BE1253" s="1140"/>
      <c r="BF1253" s="1140"/>
      <c r="BG1253" s="1140"/>
      <c r="BH1253" s="1140"/>
      <c r="BI1253" s="1140"/>
      <c r="BJ1253" s="1140"/>
      <c r="BK1253" s="1140"/>
      <c r="BL1253" s="1140"/>
      <c r="BM1253" s="1140"/>
      <c r="BN1253" s="1140"/>
      <c r="BO1253" s="1140"/>
      <c r="BP1253" s="1140"/>
      <c r="BQ1253" s="1140"/>
      <c r="BR1253" s="1140"/>
      <c r="BS1253" s="1140"/>
      <c r="BT1253" s="1140"/>
    </row>
    <row r="1254" spans="1:72" s="1152" customFormat="1" ht="16.350000000000001" customHeight="1" outlineLevel="2">
      <c r="A1254" s="1105"/>
      <c r="B1254" s="1147"/>
      <c r="C1254" s="1148"/>
      <c r="D1254" s="1148"/>
      <c r="E1254" s="1148"/>
      <c r="F1254" s="1148"/>
      <c r="G1254" s="1148"/>
      <c r="H1254" s="1149"/>
      <c r="I1254" s="1149"/>
      <c r="J1254" s="1149"/>
      <c r="K1254" s="1149"/>
      <c r="L1254" s="1150"/>
      <c r="M1254" s="1150"/>
      <c r="N1254" s="1150"/>
      <c r="O1254" s="1150"/>
      <c r="P1254" s="1151"/>
      <c r="Q1254" s="1151"/>
      <c r="R1254" s="1110"/>
    </row>
    <row r="1255" spans="1:72" s="1125" customFormat="1" ht="16.350000000000001" customHeight="1" outlineLevel="1">
      <c r="A1255" s="1105"/>
      <c r="B1255" s="1126" t="s">
        <v>857</v>
      </c>
      <c r="C1255" s="1122"/>
      <c r="D1255" s="1122">
        <v>2002807000</v>
      </c>
      <c r="E1255" s="1122">
        <v>838516000</v>
      </c>
      <c r="F1255" s="1122">
        <v>93999000</v>
      </c>
      <c r="G1255" s="1122">
        <f>G1271</f>
        <v>110219000</v>
      </c>
      <c r="H1255" s="1127">
        <f>H1271</f>
        <v>118992000</v>
      </c>
      <c r="I1255" s="1127">
        <f>I1271</f>
        <v>133776000</v>
      </c>
      <c r="J1255" s="1127">
        <f>J1271</f>
        <v>107125000</v>
      </c>
      <c r="K1255" s="1127">
        <f>K1271</f>
        <v>40345000</v>
      </c>
      <c r="L1255" s="1128"/>
      <c r="M1255" s="1128"/>
      <c r="N1255" s="1128"/>
      <c r="O1255" s="1128"/>
      <c r="P1255" s="1128"/>
      <c r="Q1255" s="1128"/>
      <c r="R1255" s="1110"/>
      <c r="S1255" s="1124"/>
      <c r="T1255" s="1124"/>
      <c r="U1255" s="1124"/>
      <c r="V1255" s="1124"/>
      <c r="W1255" s="1124"/>
      <c r="X1255" s="1124"/>
      <c r="Y1255" s="1124"/>
      <c r="Z1255" s="1124"/>
      <c r="AA1255" s="1124"/>
      <c r="AB1255" s="1124"/>
      <c r="AC1255" s="1124"/>
      <c r="AD1255" s="1124"/>
      <c r="AE1255" s="1124"/>
      <c r="AF1255" s="1124"/>
      <c r="AG1255" s="1124"/>
      <c r="AH1255" s="1124"/>
      <c r="AI1255" s="1124"/>
      <c r="AJ1255" s="1124"/>
      <c r="AK1255" s="1124"/>
      <c r="AL1255" s="1124"/>
      <c r="AM1255" s="1124"/>
      <c r="AN1255" s="1124"/>
      <c r="AO1255" s="1124"/>
      <c r="AP1255" s="1124"/>
      <c r="AQ1255" s="1124"/>
      <c r="AR1255" s="1124"/>
      <c r="AS1255" s="1124"/>
      <c r="AT1255" s="1124"/>
      <c r="AU1255" s="1124"/>
      <c r="AV1255" s="1124"/>
      <c r="AW1255" s="1124"/>
      <c r="AX1255" s="1124"/>
      <c r="AY1255" s="1124"/>
      <c r="AZ1255" s="1124"/>
      <c r="BA1255" s="1124"/>
      <c r="BB1255" s="1124"/>
      <c r="BC1255" s="1124"/>
      <c r="BD1255" s="1124"/>
      <c r="BE1255" s="1124"/>
      <c r="BF1255" s="1124"/>
      <c r="BG1255" s="1124"/>
      <c r="BH1255" s="1124"/>
      <c r="BI1255" s="1124"/>
      <c r="BJ1255" s="1124"/>
      <c r="BK1255" s="1124"/>
      <c r="BL1255" s="1124"/>
      <c r="BM1255" s="1124"/>
      <c r="BN1255" s="1124"/>
      <c r="BO1255" s="1124"/>
      <c r="BP1255" s="1124"/>
      <c r="BQ1255" s="1124"/>
      <c r="BR1255" s="1124"/>
      <c r="BS1255" s="1124"/>
      <c r="BT1255" s="1124"/>
    </row>
    <row r="1256" spans="1:72" s="1125" customFormat="1" ht="16.350000000000001" customHeight="1" outlineLevel="2">
      <c r="A1256" s="1105"/>
      <c r="B1256" s="1126"/>
      <c r="C1256" s="1122"/>
      <c r="D1256" s="1122"/>
      <c r="E1256" s="1122"/>
      <c r="F1256" s="1122"/>
      <c r="G1256" s="1122"/>
      <c r="H1256" s="1127"/>
      <c r="I1256" s="1127"/>
      <c r="J1256" s="1127"/>
      <c r="K1256" s="1127"/>
      <c r="L1256" s="1128"/>
      <c r="M1256" s="1128"/>
      <c r="N1256" s="1128"/>
      <c r="O1256" s="1128"/>
      <c r="P1256" s="1128"/>
      <c r="Q1256" s="1128"/>
      <c r="R1256" s="1110"/>
      <c r="S1256" s="1124"/>
      <c r="T1256" s="1124"/>
      <c r="U1256" s="1124"/>
      <c r="V1256" s="1124"/>
      <c r="W1256" s="1124"/>
      <c r="X1256" s="1124"/>
      <c r="Y1256" s="1124"/>
      <c r="Z1256" s="1124"/>
      <c r="AA1256" s="1124"/>
      <c r="AB1256" s="1124"/>
      <c r="AC1256" s="1124"/>
      <c r="AD1256" s="1124"/>
      <c r="AE1256" s="1124"/>
      <c r="AF1256" s="1124"/>
      <c r="AG1256" s="1124"/>
      <c r="AH1256" s="1124"/>
      <c r="AI1256" s="1124"/>
      <c r="AJ1256" s="1124"/>
      <c r="AK1256" s="1124"/>
      <c r="AL1256" s="1124"/>
      <c r="AM1256" s="1124"/>
      <c r="AN1256" s="1124"/>
      <c r="AO1256" s="1124"/>
      <c r="AP1256" s="1124"/>
      <c r="AQ1256" s="1124"/>
      <c r="AR1256" s="1124"/>
      <c r="AS1256" s="1124"/>
      <c r="AT1256" s="1124"/>
      <c r="AU1256" s="1124"/>
      <c r="AV1256" s="1124"/>
      <c r="AW1256" s="1124"/>
      <c r="AX1256" s="1124"/>
      <c r="AY1256" s="1124"/>
      <c r="AZ1256" s="1124"/>
      <c r="BA1256" s="1124"/>
      <c r="BB1256" s="1124"/>
      <c r="BC1256" s="1124"/>
      <c r="BD1256" s="1124"/>
      <c r="BE1256" s="1124"/>
      <c r="BF1256" s="1124"/>
      <c r="BG1256" s="1124"/>
      <c r="BH1256" s="1124"/>
      <c r="BI1256" s="1124"/>
      <c r="BJ1256" s="1124"/>
      <c r="BK1256" s="1124"/>
      <c r="BL1256" s="1124"/>
      <c r="BM1256" s="1124"/>
      <c r="BN1256" s="1124"/>
      <c r="BO1256" s="1124"/>
      <c r="BP1256" s="1124"/>
      <c r="BQ1256" s="1124"/>
      <c r="BR1256" s="1124"/>
      <c r="BS1256" s="1124"/>
      <c r="BT1256" s="1124"/>
    </row>
    <row r="1257" spans="1:72" s="1145" customFormat="1" ht="16.350000000000001" customHeight="1" outlineLevel="2">
      <c r="A1257" s="1105"/>
      <c r="B1257" s="1142" t="s">
        <v>838</v>
      </c>
      <c r="C1257" s="1130"/>
      <c r="D1257" s="1130">
        <v>838516000</v>
      </c>
      <c r="E1257" s="1130">
        <v>160096000</v>
      </c>
      <c r="F1257" s="1130">
        <v>160096000</v>
      </c>
      <c r="G1257" s="1130">
        <f>H1262</f>
        <v>158422000</v>
      </c>
      <c r="H1257" s="1130">
        <f>I1262</f>
        <v>157246000</v>
      </c>
      <c r="I1257" s="1130">
        <f>J1262</f>
        <v>132315000</v>
      </c>
      <c r="J1257" s="1130">
        <f>K1262</f>
        <v>60458000</v>
      </c>
      <c r="K1257" s="1130">
        <v>36030000</v>
      </c>
      <c r="L1257" s="1143"/>
      <c r="M1257" s="1143"/>
      <c r="N1257" s="1143"/>
      <c r="O1257" s="1143"/>
      <c r="P1257" s="1143"/>
      <c r="Q1257" s="1143"/>
      <c r="R1257" s="1110"/>
      <c r="S1257" s="1144"/>
      <c r="T1257" s="1144"/>
      <c r="U1257" s="1144"/>
      <c r="V1257" s="1144"/>
      <c r="W1257" s="1144"/>
      <c r="X1257" s="1144"/>
      <c r="Y1257" s="1144"/>
      <c r="Z1257" s="1144"/>
      <c r="AA1257" s="1144"/>
      <c r="AB1257" s="1144"/>
      <c r="AC1257" s="1144"/>
      <c r="AD1257" s="1144"/>
      <c r="AE1257" s="1144"/>
      <c r="AF1257" s="1144"/>
      <c r="AG1257" s="1144"/>
      <c r="AH1257" s="1144"/>
      <c r="AI1257" s="1144"/>
      <c r="AJ1257" s="1144"/>
      <c r="AK1257" s="1144"/>
      <c r="AL1257" s="1144"/>
      <c r="AM1257" s="1144"/>
      <c r="AN1257" s="1144"/>
      <c r="AO1257" s="1144"/>
      <c r="AP1257" s="1144"/>
      <c r="AQ1257" s="1144"/>
      <c r="AR1257" s="1144"/>
      <c r="AS1257" s="1144"/>
      <c r="AT1257" s="1144"/>
      <c r="AU1257" s="1144"/>
      <c r="AV1257" s="1144"/>
      <c r="AW1257" s="1144"/>
      <c r="AX1257" s="1144"/>
      <c r="AY1257" s="1144"/>
      <c r="AZ1257" s="1144"/>
      <c r="BA1257" s="1144"/>
      <c r="BB1257" s="1144"/>
      <c r="BC1257" s="1144"/>
      <c r="BD1257" s="1144"/>
      <c r="BE1257" s="1144"/>
      <c r="BF1257" s="1144"/>
      <c r="BG1257" s="1144"/>
      <c r="BH1257" s="1144"/>
      <c r="BI1257" s="1144"/>
      <c r="BJ1257" s="1144"/>
      <c r="BK1257" s="1144"/>
      <c r="BL1257" s="1144"/>
      <c r="BM1257" s="1144"/>
      <c r="BN1257" s="1144"/>
      <c r="BO1257" s="1144"/>
      <c r="BP1257" s="1144"/>
      <c r="BQ1257" s="1144"/>
      <c r="BR1257" s="1144"/>
      <c r="BS1257" s="1144"/>
      <c r="BT1257" s="1144"/>
    </row>
    <row r="1258" spans="1:72" s="450" customFormat="1" ht="16.350000000000001" customHeight="1" outlineLevel="2">
      <c r="A1258" s="1105"/>
      <c r="B1258" s="1133" t="s">
        <v>839</v>
      </c>
      <c r="C1258" s="1130"/>
      <c r="D1258" s="1130"/>
      <c r="E1258" s="1130"/>
      <c r="F1258" s="1130"/>
      <c r="G1258" s="1130"/>
      <c r="H1258" s="1130"/>
      <c r="I1258" s="1130"/>
      <c r="J1258" s="1130"/>
      <c r="K1258" s="1130"/>
      <c r="L1258" s="1134"/>
      <c r="M1258" s="1134"/>
      <c r="N1258" s="1134"/>
      <c r="O1258" s="1134"/>
      <c r="P1258" s="1134"/>
      <c r="Q1258" s="1134"/>
      <c r="R1258" s="1110"/>
      <c r="S1258" s="1135"/>
      <c r="T1258" s="1135"/>
      <c r="U1258" s="1135"/>
      <c r="V1258" s="1135"/>
      <c r="W1258" s="1135"/>
      <c r="X1258" s="1135"/>
      <c r="Y1258" s="1135"/>
      <c r="Z1258" s="1135"/>
      <c r="AA1258" s="1135"/>
      <c r="AB1258" s="1135"/>
      <c r="AC1258" s="1135"/>
      <c r="AD1258" s="1135"/>
      <c r="AE1258" s="1135"/>
      <c r="AF1258" s="1135"/>
      <c r="AG1258" s="1135"/>
      <c r="AH1258" s="1135"/>
      <c r="AI1258" s="1135"/>
      <c r="AJ1258" s="1135"/>
      <c r="AK1258" s="1135"/>
      <c r="AL1258" s="1135"/>
      <c r="AM1258" s="1135"/>
      <c r="AN1258" s="1135"/>
      <c r="AO1258" s="1135"/>
      <c r="AP1258" s="1135"/>
      <c r="AQ1258" s="1135"/>
      <c r="AR1258" s="1135"/>
      <c r="AS1258" s="1135"/>
      <c r="AT1258" s="1135"/>
      <c r="AU1258" s="1135"/>
      <c r="AV1258" s="1135"/>
      <c r="AW1258" s="1135"/>
      <c r="AX1258" s="1135"/>
      <c r="AY1258" s="1135"/>
      <c r="AZ1258" s="1135"/>
      <c r="BA1258" s="1135"/>
      <c r="BB1258" s="1135"/>
      <c r="BC1258" s="1135"/>
      <c r="BD1258" s="1135"/>
      <c r="BE1258" s="1135"/>
      <c r="BF1258" s="1135"/>
      <c r="BG1258" s="1135"/>
      <c r="BH1258" s="1135"/>
      <c r="BI1258" s="1135"/>
      <c r="BJ1258" s="1135"/>
      <c r="BK1258" s="1135"/>
      <c r="BL1258" s="1135"/>
      <c r="BM1258" s="1135"/>
      <c r="BN1258" s="1135"/>
      <c r="BO1258" s="1135"/>
      <c r="BP1258" s="1135"/>
      <c r="BQ1258" s="1135"/>
      <c r="BR1258" s="1135"/>
      <c r="BS1258" s="1135"/>
      <c r="BT1258" s="1135"/>
    </row>
    <row r="1259" spans="1:72" s="450" customFormat="1" ht="16.350000000000001" customHeight="1" outlineLevel="2">
      <c r="A1259" s="1105"/>
      <c r="B1259" s="1133" t="s">
        <v>53</v>
      </c>
      <c r="C1259" s="1130"/>
      <c r="D1259" s="1130">
        <v>1184184000</v>
      </c>
      <c r="E1259" s="1130">
        <v>692139000</v>
      </c>
      <c r="F1259" s="1130">
        <v>0</v>
      </c>
      <c r="G1259" s="1130">
        <v>9288000</v>
      </c>
      <c r="H1259" s="1130">
        <v>4499000</v>
      </c>
      <c r="I1259" s="1130">
        <v>18683000</v>
      </c>
      <c r="J1259" s="1130">
        <v>83662000</v>
      </c>
      <c r="K1259" s="1130">
        <v>25817000</v>
      </c>
      <c r="L1259" s="1134"/>
      <c r="M1259" s="1134"/>
      <c r="N1259" s="1134"/>
      <c r="O1259" s="1134"/>
      <c r="P1259" s="1134"/>
      <c r="Q1259" s="1134"/>
      <c r="R1259" s="1110"/>
      <c r="S1259" s="1135"/>
      <c r="T1259" s="1135"/>
      <c r="U1259" s="1135"/>
      <c r="V1259" s="1135"/>
      <c r="W1259" s="1135"/>
      <c r="X1259" s="1135"/>
      <c r="Y1259" s="1135"/>
      <c r="Z1259" s="1135"/>
      <c r="AA1259" s="1135"/>
      <c r="AB1259" s="1135"/>
      <c r="AC1259" s="1135"/>
      <c r="AD1259" s="1135"/>
      <c r="AE1259" s="1135"/>
      <c r="AF1259" s="1135"/>
      <c r="AG1259" s="1135"/>
      <c r="AH1259" s="1135"/>
      <c r="AI1259" s="1135"/>
      <c r="AJ1259" s="1135"/>
      <c r="AK1259" s="1135"/>
      <c r="AL1259" s="1135"/>
      <c r="AM1259" s="1135"/>
      <c r="AN1259" s="1135"/>
      <c r="AO1259" s="1135"/>
      <c r="AP1259" s="1135"/>
      <c r="AQ1259" s="1135"/>
      <c r="AR1259" s="1135"/>
      <c r="AS1259" s="1135"/>
      <c r="AT1259" s="1135"/>
      <c r="AU1259" s="1135"/>
      <c r="AV1259" s="1135"/>
      <c r="AW1259" s="1135"/>
      <c r="AX1259" s="1135"/>
      <c r="AY1259" s="1135"/>
      <c r="AZ1259" s="1135"/>
      <c r="BA1259" s="1135"/>
      <c r="BB1259" s="1135"/>
      <c r="BC1259" s="1135"/>
      <c r="BD1259" s="1135"/>
      <c r="BE1259" s="1135"/>
      <c r="BF1259" s="1135"/>
      <c r="BG1259" s="1135"/>
      <c r="BH1259" s="1135"/>
      <c r="BI1259" s="1135"/>
      <c r="BJ1259" s="1135"/>
      <c r="BK1259" s="1135"/>
      <c r="BL1259" s="1135"/>
      <c r="BM1259" s="1135"/>
      <c r="BN1259" s="1135"/>
      <c r="BO1259" s="1135"/>
      <c r="BP1259" s="1135"/>
      <c r="BQ1259" s="1135"/>
      <c r="BR1259" s="1135"/>
      <c r="BS1259" s="1135"/>
      <c r="BT1259" s="1135"/>
    </row>
    <row r="1260" spans="1:72" s="450" customFormat="1" ht="16.350000000000001" customHeight="1" outlineLevel="2">
      <c r="A1260" s="1105"/>
      <c r="B1260" s="1133" t="s">
        <v>840</v>
      </c>
      <c r="C1260" s="1130"/>
      <c r="D1260" s="1130"/>
      <c r="E1260" s="1130">
        <v>0</v>
      </c>
      <c r="F1260" s="1130">
        <v>0</v>
      </c>
      <c r="G1260" s="1130">
        <v>0</v>
      </c>
      <c r="H1260" s="1130">
        <v>0</v>
      </c>
      <c r="I1260" s="1130">
        <v>25593000</v>
      </c>
      <c r="J1260" s="1130">
        <v>0</v>
      </c>
      <c r="K1260" s="1130">
        <v>0</v>
      </c>
      <c r="L1260" s="1134"/>
      <c r="M1260" s="1134"/>
      <c r="N1260" s="1134"/>
      <c r="O1260" s="1134"/>
      <c r="P1260" s="1134"/>
      <c r="Q1260" s="1134"/>
      <c r="R1260" s="1110"/>
      <c r="S1260" s="1135"/>
      <c r="T1260" s="1135"/>
      <c r="U1260" s="1135"/>
      <c r="V1260" s="1135"/>
      <c r="W1260" s="1135"/>
      <c r="X1260" s="1135"/>
      <c r="Y1260" s="1135"/>
      <c r="Z1260" s="1135"/>
      <c r="AA1260" s="1135"/>
      <c r="AB1260" s="1135"/>
      <c r="AC1260" s="1135"/>
      <c r="AD1260" s="1135"/>
      <c r="AE1260" s="1135"/>
      <c r="AF1260" s="1135"/>
      <c r="AG1260" s="1135"/>
      <c r="AH1260" s="1135"/>
      <c r="AI1260" s="1135"/>
      <c r="AJ1260" s="1135"/>
      <c r="AK1260" s="1135"/>
      <c r="AL1260" s="1135"/>
      <c r="AM1260" s="1135"/>
      <c r="AN1260" s="1135"/>
      <c r="AO1260" s="1135"/>
      <c r="AP1260" s="1135"/>
      <c r="AQ1260" s="1135"/>
      <c r="AR1260" s="1135"/>
      <c r="AS1260" s="1135"/>
      <c r="AT1260" s="1135"/>
      <c r="AU1260" s="1135"/>
      <c r="AV1260" s="1135"/>
      <c r="AW1260" s="1135"/>
      <c r="AX1260" s="1135"/>
      <c r="AY1260" s="1135"/>
      <c r="AZ1260" s="1135"/>
      <c r="BA1260" s="1135"/>
      <c r="BB1260" s="1135"/>
      <c r="BC1260" s="1135"/>
      <c r="BD1260" s="1135"/>
      <c r="BE1260" s="1135"/>
      <c r="BF1260" s="1135"/>
      <c r="BG1260" s="1135"/>
      <c r="BH1260" s="1135"/>
      <c r="BI1260" s="1135"/>
      <c r="BJ1260" s="1135"/>
      <c r="BK1260" s="1135"/>
      <c r="BL1260" s="1135"/>
      <c r="BM1260" s="1135"/>
      <c r="BN1260" s="1135"/>
      <c r="BO1260" s="1135"/>
      <c r="BP1260" s="1135"/>
      <c r="BQ1260" s="1135"/>
      <c r="BR1260" s="1135"/>
      <c r="BS1260" s="1135"/>
      <c r="BT1260" s="1135"/>
    </row>
    <row r="1261" spans="1:72" s="450" customFormat="1" ht="16.350000000000001" customHeight="1" outlineLevel="2">
      <c r="A1261" s="1105"/>
      <c r="B1261" s="1133" t="s">
        <v>54</v>
      </c>
      <c r="C1261" s="1130"/>
      <c r="D1261" s="1130">
        <v>-19893000</v>
      </c>
      <c r="E1261" s="1130">
        <v>-13719000</v>
      </c>
      <c r="F1261" s="1130">
        <v>0</v>
      </c>
      <c r="G1261" s="1130">
        <v>-7614000</v>
      </c>
      <c r="H1261" s="1130">
        <v>-3323000</v>
      </c>
      <c r="I1261" s="1130">
        <v>-19345000</v>
      </c>
      <c r="J1261" s="1130">
        <v>-11805000</v>
      </c>
      <c r="K1261" s="1130">
        <v>-1389000</v>
      </c>
      <c r="L1261" s="1134"/>
      <c r="M1261" s="1134"/>
      <c r="N1261" s="1134"/>
      <c r="O1261" s="1134"/>
      <c r="P1261" s="1134"/>
      <c r="Q1261" s="1134"/>
      <c r="R1261" s="1110"/>
      <c r="S1261" s="1135"/>
      <c r="T1261" s="1135"/>
      <c r="U1261" s="1135"/>
      <c r="V1261" s="1135"/>
      <c r="W1261" s="1135"/>
      <c r="X1261" s="1135"/>
      <c r="Y1261" s="1135"/>
      <c r="Z1261" s="1135"/>
      <c r="AA1261" s="1135"/>
      <c r="AB1261" s="1135"/>
      <c r="AC1261" s="1135"/>
      <c r="AD1261" s="1135"/>
      <c r="AE1261" s="1135"/>
      <c r="AF1261" s="1135"/>
      <c r="AG1261" s="1135"/>
      <c r="AH1261" s="1135"/>
      <c r="AI1261" s="1135"/>
      <c r="AJ1261" s="1135"/>
      <c r="AK1261" s="1135"/>
      <c r="AL1261" s="1135"/>
      <c r="AM1261" s="1135"/>
      <c r="AN1261" s="1135"/>
      <c r="AO1261" s="1135"/>
      <c r="AP1261" s="1135"/>
      <c r="AQ1261" s="1135"/>
      <c r="AR1261" s="1135"/>
      <c r="AS1261" s="1135"/>
      <c r="AT1261" s="1135"/>
      <c r="AU1261" s="1135"/>
      <c r="AV1261" s="1135"/>
      <c r="AW1261" s="1135"/>
      <c r="AX1261" s="1135"/>
      <c r="AY1261" s="1135"/>
      <c r="AZ1261" s="1135"/>
      <c r="BA1261" s="1135"/>
      <c r="BB1261" s="1135"/>
      <c r="BC1261" s="1135"/>
      <c r="BD1261" s="1135"/>
      <c r="BE1261" s="1135"/>
      <c r="BF1261" s="1135"/>
      <c r="BG1261" s="1135"/>
      <c r="BH1261" s="1135"/>
      <c r="BI1261" s="1135"/>
      <c r="BJ1261" s="1135"/>
      <c r="BK1261" s="1135"/>
      <c r="BL1261" s="1135"/>
      <c r="BM1261" s="1135"/>
      <c r="BN1261" s="1135"/>
      <c r="BO1261" s="1135"/>
      <c r="BP1261" s="1135"/>
      <c r="BQ1261" s="1135"/>
      <c r="BR1261" s="1135"/>
      <c r="BS1261" s="1135"/>
      <c r="BT1261" s="1135"/>
    </row>
    <row r="1262" spans="1:72" s="1141" customFormat="1" ht="16.350000000000001" customHeight="1" outlineLevel="2">
      <c r="A1262" s="1105"/>
      <c r="B1262" s="1137" t="s">
        <v>842</v>
      </c>
      <c r="C1262" s="1138"/>
      <c r="D1262" s="1138">
        <v>2002807000</v>
      </c>
      <c r="E1262" s="1138">
        <v>838516000</v>
      </c>
      <c r="F1262" s="1138">
        <v>160096000</v>
      </c>
      <c r="G1262" s="1138">
        <f>G1257+G1259+G1260+G1261</f>
        <v>160096000</v>
      </c>
      <c r="H1262" s="1138">
        <f>H1257+H1259+H1260+H1261</f>
        <v>158422000</v>
      </c>
      <c r="I1262" s="1138">
        <f>I1257+I1259+I1260+I1261</f>
        <v>157246000</v>
      </c>
      <c r="J1262" s="1138">
        <f>J1257+J1259+J1260+J1261</f>
        <v>132315000</v>
      </c>
      <c r="K1262" s="1138">
        <f>K1257+K1259+K1260+K1261</f>
        <v>60458000</v>
      </c>
      <c r="L1262" s="1139"/>
      <c r="M1262" s="1139"/>
      <c r="N1262" s="1139"/>
      <c r="O1262" s="1139"/>
      <c r="P1262" s="1139"/>
      <c r="Q1262" s="1139"/>
      <c r="R1262" s="1110"/>
      <c r="S1262" s="1140"/>
      <c r="T1262" s="1140"/>
      <c r="U1262" s="1140"/>
      <c r="V1262" s="1140"/>
      <c r="W1262" s="1140"/>
      <c r="X1262" s="1140"/>
      <c r="Y1262" s="1140"/>
      <c r="Z1262" s="1140"/>
      <c r="AA1262" s="1140"/>
      <c r="AB1262" s="1140"/>
      <c r="AC1262" s="1140"/>
      <c r="AD1262" s="1140"/>
      <c r="AE1262" s="1140"/>
      <c r="AF1262" s="1140"/>
      <c r="AG1262" s="1140"/>
      <c r="AH1262" s="1140"/>
      <c r="AI1262" s="1140"/>
      <c r="AJ1262" s="1140"/>
      <c r="AK1262" s="1140"/>
      <c r="AL1262" s="1140"/>
      <c r="AM1262" s="1140"/>
      <c r="AN1262" s="1140"/>
      <c r="AO1262" s="1140"/>
      <c r="AP1262" s="1140"/>
      <c r="AQ1262" s="1140"/>
      <c r="AR1262" s="1140"/>
      <c r="AS1262" s="1140"/>
      <c r="AT1262" s="1140"/>
      <c r="AU1262" s="1140"/>
      <c r="AV1262" s="1140"/>
      <c r="AW1262" s="1140"/>
      <c r="AX1262" s="1140"/>
      <c r="AY1262" s="1140"/>
      <c r="AZ1262" s="1140"/>
      <c r="BA1262" s="1140"/>
      <c r="BB1262" s="1140"/>
      <c r="BC1262" s="1140"/>
      <c r="BD1262" s="1140"/>
      <c r="BE1262" s="1140"/>
      <c r="BF1262" s="1140"/>
      <c r="BG1262" s="1140"/>
      <c r="BH1262" s="1140"/>
      <c r="BI1262" s="1140"/>
      <c r="BJ1262" s="1140"/>
      <c r="BK1262" s="1140"/>
      <c r="BL1262" s="1140"/>
      <c r="BM1262" s="1140"/>
      <c r="BN1262" s="1140"/>
      <c r="BO1262" s="1140"/>
      <c r="BP1262" s="1140"/>
      <c r="BQ1262" s="1140"/>
      <c r="BR1262" s="1140"/>
      <c r="BS1262" s="1140"/>
      <c r="BT1262" s="1140"/>
    </row>
    <row r="1263" spans="1:72" s="1125" customFormat="1" ht="16.350000000000001" customHeight="1" outlineLevel="2">
      <c r="A1263" s="1105"/>
      <c r="B1263" s="1166"/>
      <c r="C1263" s="1122"/>
      <c r="D1263" s="1122"/>
      <c r="E1263" s="1122"/>
      <c r="F1263" s="1122"/>
      <c r="G1263" s="1122"/>
      <c r="H1263" s="1122"/>
      <c r="I1263" s="1122"/>
      <c r="J1263" s="1122"/>
      <c r="K1263" s="1122"/>
      <c r="L1263" s="1123"/>
      <c r="M1263" s="1123"/>
      <c r="N1263" s="1123"/>
      <c r="O1263" s="1123"/>
      <c r="P1263" s="1123"/>
      <c r="Q1263" s="1123"/>
      <c r="R1263" s="1110"/>
      <c r="S1263" s="1124"/>
      <c r="T1263" s="1124"/>
      <c r="U1263" s="1124"/>
      <c r="V1263" s="1124"/>
      <c r="W1263" s="1124"/>
      <c r="X1263" s="1124"/>
      <c r="Y1263" s="1124"/>
      <c r="Z1263" s="1124"/>
      <c r="AA1263" s="1124"/>
      <c r="AB1263" s="1124"/>
      <c r="AC1263" s="1124"/>
      <c r="AD1263" s="1124"/>
      <c r="AE1263" s="1124"/>
      <c r="AF1263" s="1124"/>
      <c r="AG1263" s="1124"/>
      <c r="AH1263" s="1124"/>
      <c r="AI1263" s="1124"/>
      <c r="AJ1263" s="1124"/>
      <c r="AK1263" s="1124"/>
      <c r="AL1263" s="1124"/>
      <c r="AM1263" s="1124"/>
      <c r="AN1263" s="1124"/>
      <c r="AO1263" s="1124"/>
      <c r="AP1263" s="1124"/>
      <c r="AQ1263" s="1124"/>
      <c r="AR1263" s="1124"/>
      <c r="AS1263" s="1124"/>
      <c r="AT1263" s="1124"/>
      <c r="AU1263" s="1124"/>
      <c r="AV1263" s="1124"/>
      <c r="AW1263" s="1124"/>
      <c r="AX1263" s="1124"/>
      <c r="AY1263" s="1124"/>
      <c r="AZ1263" s="1124"/>
      <c r="BA1263" s="1124"/>
      <c r="BB1263" s="1124"/>
      <c r="BC1263" s="1124"/>
      <c r="BD1263" s="1124"/>
      <c r="BE1263" s="1124"/>
      <c r="BF1263" s="1124"/>
      <c r="BG1263" s="1124"/>
      <c r="BH1263" s="1124"/>
      <c r="BI1263" s="1124"/>
      <c r="BJ1263" s="1124"/>
      <c r="BK1263" s="1124"/>
      <c r="BL1263" s="1124"/>
      <c r="BM1263" s="1124"/>
      <c r="BN1263" s="1124"/>
      <c r="BO1263" s="1124"/>
      <c r="BP1263" s="1124"/>
      <c r="BQ1263" s="1124"/>
      <c r="BR1263" s="1124"/>
      <c r="BS1263" s="1124"/>
      <c r="BT1263" s="1124"/>
    </row>
    <row r="1264" spans="1:72" s="1145" customFormat="1" ht="16.350000000000001" customHeight="1" outlineLevel="2">
      <c r="A1264" s="1105"/>
      <c r="B1264" s="1142" t="s">
        <v>854</v>
      </c>
      <c r="C1264" s="1130"/>
      <c r="D1264" s="1130">
        <v>-87012000</v>
      </c>
      <c r="E1264" s="1130">
        <v>-66097000</v>
      </c>
      <c r="F1264" s="1130">
        <v>-49877000</v>
      </c>
      <c r="G1264" s="1130">
        <f>H1267</f>
        <v>-39430000</v>
      </c>
      <c r="H1264" s="1130">
        <f>I1267</f>
        <v>-23470000</v>
      </c>
      <c r="I1264" s="1130">
        <f>J1267</f>
        <v>-25190000</v>
      </c>
      <c r="J1264" s="1130">
        <f>K1267</f>
        <v>-20113000</v>
      </c>
      <c r="K1264" s="1130">
        <v>-14782000</v>
      </c>
      <c r="L1264" s="1143"/>
      <c r="M1264" s="1143"/>
      <c r="N1264" s="1143"/>
      <c r="O1264" s="1143"/>
      <c r="P1264" s="1143"/>
      <c r="Q1264" s="1143"/>
      <c r="R1264" s="1110"/>
      <c r="S1264" s="1144"/>
      <c r="T1264" s="1144"/>
      <c r="U1264" s="1144"/>
      <c r="V1264" s="1144"/>
      <c r="W1264" s="1144"/>
      <c r="X1264" s="1144"/>
      <c r="Y1264" s="1144"/>
      <c r="Z1264" s="1144"/>
      <c r="AA1264" s="1144"/>
      <c r="AB1264" s="1144"/>
      <c r="AC1264" s="1144"/>
      <c r="AD1264" s="1144"/>
      <c r="AE1264" s="1144"/>
      <c r="AF1264" s="1144"/>
      <c r="AG1264" s="1144"/>
      <c r="AH1264" s="1144"/>
      <c r="AI1264" s="1144"/>
      <c r="AJ1264" s="1144"/>
      <c r="AK1264" s="1144"/>
      <c r="AL1264" s="1144"/>
      <c r="AM1264" s="1144"/>
      <c r="AN1264" s="1144"/>
      <c r="AO1264" s="1144"/>
      <c r="AP1264" s="1144"/>
      <c r="AQ1264" s="1144"/>
      <c r="AR1264" s="1144"/>
      <c r="AS1264" s="1144"/>
      <c r="AT1264" s="1144"/>
      <c r="AU1264" s="1144"/>
      <c r="AV1264" s="1144"/>
      <c r="AW1264" s="1144"/>
      <c r="AX1264" s="1144"/>
      <c r="AY1264" s="1144"/>
      <c r="AZ1264" s="1144"/>
      <c r="BA1264" s="1144"/>
      <c r="BB1264" s="1144"/>
      <c r="BC1264" s="1144"/>
      <c r="BD1264" s="1144"/>
      <c r="BE1264" s="1144"/>
      <c r="BF1264" s="1144"/>
      <c r="BG1264" s="1144"/>
      <c r="BH1264" s="1144"/>
      <c r="BI1264" s="1144"/>
      <c r="BJ1264" s="1144"/>
      <c r="BK1264" s="1144"/>
      <c r="BL1264" s="1144"/>
      <c r="BM1264" s="1144"/>
      <c r="BN1264" s="1144"/>
      <c r="BO1264" s="1144"/>
      <c r="BP1264" s="1144"/>
      <c r="BQ1264" s="1144"/>
      <c r="BR1264" s="1144"/>
      <c r="BS1264" s="1144"/>
      <c r="BT1264" s="1144"/>
    </row>
    <row r="1265" spans="1:72" s="450" customFormat="1" ht="16.350000000000001" customHeight="1" outlineLevel="2">
      <c r="A1265" s="1105"/>
      <c r="B1265" s="1133" t="s">
        <v>94</v>
      </c>
      <c r="C1265" s="1130"/>
      <c r="D1265" s="1130">
        <v>-153874000</v>
      </c>
      <c r="E1265" s="1130">
        <v>-34634000</v>
      </c>
      <c r="F1265" s="1130">
        <v>-16220000</v>
      </c>
      <c r="G1265" s="1130">
        <v>-18061000</v>
      </c>
      <c r="H1265" s="1130">
        <v>-19283000</v>
      </c>
      <c r="I1265" s="1130">
        <v>-17626000</v>
      </c>
      <c r="J1265" s="1130">
        <v>-16882000</v>
      </c>
      <c r="K1265" s="1130">
        <v>-6720000</v>
      </c>
      <c r="L1265" s="1134"/>
      <c r="M1265" s="1134"/>
      <c r="N1265" s="1134"/>
      <c r="O1265" s="1134"/>
      <c r="P1265" s="1134"/>
      <c r="Q1265" s="1134"/>
      <c r="R1265" s="1110"/>
      <c r="S1265" s="1135"/>
      <c r="T1265" s="1135"/>
      <c r="U1265" s="1135"/>
      <c r="V1265" s="1135"/>
      <c r="W1265" s="1135"/>
      <c r="X1265" s="1135"/>
      <c r="Y1265" s="1135"/>
      <c r="Z1265" s="1135"/>
      <c r="AA1265" s="1135"/>
      <c r="AB1265" s="1135"/>
      <c r="AC1265" s="1135"/>
      <c r="AD1265" s="1135"/>
      <c r="AE1265" s="1135"/>
      <c r="AF1265" s="1135"/>
      <c r="AG1265" s="1135"/>
      <c r="AH1265" s="1135"/>
      <c r="AI1265" s="1135"/>
      <c r="AJ1265" s="1135"/>
      <c r="AK1265" s="1135"/>
      <c r="AL1265" s="1135"/>
      <c r="AM1265" s="1135"/>
      <c r="AN1265" s="1135"/>
      <c r="AO1265" s="1135"/>
      <c r="AP1265" s="1135"/>
      <c r="AQ1265" s="1135"/>
      <c r="AR1265" s="1135"/>
      <c r="AS1265" s="1135"/>
      <c r="AT1265" s="1135"/>
      <c r="AU1265" s="1135"/>
      <c r="AV1265" s="1135"/>
      <c r="AW1265" s="1135"/>
      <c r="AX1265" s="1135"/>
      <c r="AY1265" s="1135"/>
      <c r="AZ1265" s="1135"/>
      <c r="BA1265" s="1135"/>
      <c r="BB1265" s="1135"/>
      <c r="BC1265" s="1135"/>
      <c r="BD1265" s="1135"/>
      <c r="BE1265" s="1135"/>
      <c r="BF1265" s="1135"/>
      <c r="BG1265" s="1135"/>
      <c r="BH1265" s="1135"/>
      <c r="BI1265" s="1135"/>
      <c r="BJ1265" s="1135"/>
      <c r="BK1265" s="1135"/>
      <c r="BL1265" s="1135"/>
      <c r="BM1265" s="1135"/>
      <c r="BN1265" s="1135"/>
      <c r="BO1265" s="1135"/>
      <c r="BP1265" s="1135"/>
      <c r="BQ1265" s="1135"/>
      <c r="BR1265" s="1135"/>
      <c r="BS1265" s="1135"/>
      <c r="BT1265" s="1135"/>
    </row>
    <row r="1266" spans="1:72" s="450" customFormat="1" ht="16.350000000000001" customHeight="1" outlineLevel="2">
      <c r="A1266" s="1105"/>
      <c r="B1266" s="1133" t="s">
        <v>54</v>
      </c>
      <c r="C1266" s="1130"/>
      <c r="D1266" s="1130">
        <v>3369000</v>
      </c>
      <c r="E1266" s="1130">
        <v>13719000</v>
      </c>
      <c r="F1266" s="1130">
        <v>0</v>
      </c>
      <c r="G1266" s="1130">
        <v>7614000</v>
      </c>
      <c r="H1266" s="1130">
        <v>3323000</v>
      </c>
      <c r="I1266" s="1130">
        <v>19346000</v>
      </c>
      <c r="J1266" s="1130">
        <v>11805000</v>
      </c>
      <c r="K1266" s="1130">
        <v>1389000</v>
      </c>
      <c r="L1266" s="1134"/>
      <c r="M1266" s="1134"/>
      <c r="N1266" s="1134"/>
      <c r="O1266" s="1134"/>
      <c r="P1266" s="1134"/>
      <c r="Q1266" s="1134"/>
      <c r="R1266" s="1110"/>
      <c r="S1266" s="1135"/>
      <c r="T1266" s="1135"/>
      <c r="U1266" s="1135"/>
      <c r="V1266" s="1135"/>
      <c r="W1266" s="1135"/>
      <c r="X1266" s="1135"/>
      <c r="Y1266" s="1135"/>
      <c r="Z1266" s="1135"/>
      <c r="AA1266" s="1135"/>
      <c r="AB1266" s="1135"/>
      <c r="AC1266" s="1135"/>
      <c r="AD1266" s="1135"/>
      <c r="AE1266" s="1135"/>
      <c r="AF1266" s="1135"/>
      <c r="AG1266" s="1135"/>
      <c r="AH1266" s="1135"/>
      <c r="AI1266" s="1135"/>
      <c r="AJ1266" s="1135"/>
      <c r="AK1266" s="1135"/>
      <c r="AL1266" s="1135"/>
      <c r="AM1266" s="1135"/>
      <c r="AN1266" s="1135"/>
      <c r="AO1266" s="1135"/>
      <c r="AP1266" s="1135"/>
      <c r="AQ1266" s="1135"/>
      <c r="AR1266" s="1135"/>
      <c r="AS1266" s="1135"/>
      <c r="AT1266" s="1135"/>
      <c r="AU1266" s="1135"/>
      <c r="AV1266" s="1135"/>
      <c r="AW1266" s="1135"/>
      <c r="AX1266" s="1135"/>
      <c r="AY1266" s="1135"/>
      <c r="AZ1266" s="1135"/>
      <c r="BA1266" s="1135"/>
      <c r="BB1266" s="1135"/>
      <c r="BC1266" s="1135"/>
      <c r="BD1266" s="1135"/>
      <c r="BE1266" s="1135"/>
      <c r="BF1266" s="1135"/>
      <c r="BG1266" s="1135"/>
      <c r="BH1266" s="1135"/>
      <c r="BI1266" s="1135"/>
      <c r="BJ1266" s="1135"/>
      <c r="BK1266" s="1135"/>
      <c r="BL1266" s="1135"/>
      <c r="BM1266" s="1135"/>
      <c r="BN1266" s="1135"/>
      <c r="BO1266" s="1135"/>
      <c r="BP1266" s="1135"/>
      <c r="BQ1266" s="1135"/>
      <c r="BR1266" s="1135"/>
      <c r="BS1266" s="1135"/>
      <c r="BT1266" s="1135"/>
    </row>
    <row r="1267" spans="1:72" s="1141" customFormat="1" ht="16.350000000000001" customHeight="1" outlineLevel="2">
      <c r="A1267" s="1105"/>
      <c r="B1267" s="1137" t="s">
        <v>844</v>
      </c>
      <c r="C1267" s="1138"/>
      <c r="D1267" s="1138">
        <v>-237517000</v>
      </c>
      <c r="E1267" s="1138">
        <v>-87012000</v>
      </c>
      <c r="F1267" s="1138">
        <v>-66097000</v>
      </c>
      <c r="G1267" s="1138">
        <f>G1264+G1265+G1266</f>
        <v>-49877000</v>
      </c>
      <c r="H1267" s="1138">
        <f>H1264+H1265+H1266</f>
        <v>-39430000</v>
      </c>
      <c r="I1267" s="1138">
        <f>I1264+I1265+I1266</f>
        <v>-23470000</v>
      </c>
      <c r="J1267" s="1138">
        <f>J1264+J1265+J1266</f>
        <v>-25190000</v>
      </c>
      <c r="K1267" s="1138">
        <f>K1264+K1265+K1266</f>
        <v>-20113000</v>
      </c>
      <c r="L1267" s="1139"/>
      <c r="M1267" s="1139"/>
      <c r="N1267" s="1139"/>
      <c r="O1267" s="1139"/>
      <c r="P1267" s="1139"/>
      <c r="Q1267" s="1139"/>
      <c r="R1267" s="1110"/>
      <c r="S1267" s="1140"/>
      <c r="T1267" s="1140"/>
      <c r="U1267" s="1140"/>
      <c r="V1267" s="1140"/>
      <c r="W1267" s="1140"/>
      <c r="X1267" s="1140"/>
      <c r="Y1267" s="1140"/>
      <c r="Z1267" s="1140"/>
      <c r="AA1267" s="1140"/>
      <c r="AB1267" s="1140"/>
      <c r="AC1267" s="1140"/>
      <c r="AD1267" s="1140"/>
      <c r="AE1267" s="1140"/>
      <c r="AF1267" s="1140"/>
      <c r="AG1267" s="1140"/>
      <c r="AH1267" s="1140"/>
      <c r="AI1267" s="1140"/>
      <c r="AJ1267" s="1140"/>
      <c r="AK1267" s="1140"/>
      <c r="AL1267" s="1140"/>
      <c r="AM1267" s="1140"/>
      <c r="AN1267" s="1140"/>
      <c r="AO1267" s="1140"/>
      <c r="AP1267" s="1140"/>
      <c r="AQ1267" s="1140"/>
      <c r="AR1267" s="1140"/>
      <c r="AS1267" s="1140"/>
      <c r="AT1267" s="1140"/>
      <c r="AU1267" s="1140"/>
      <c r="AV1267" s="1140"/>
      <c r="AW1267" s="1140"/>
      <c r="AX1267" s="1140"/>
      <c r="AY1267" s="1140"/>
      <c r="AZ1267" s="1140"/>
      <c r="BA1267" s="1140"/>
      <c r="BB1267" s="1140"/>
      <c r="BC1267" s="1140"/>
      <c r="BD1267" s="1140"/>
      <c r="BE1267" s="1140"/>
      <c r="BF1267" s="1140"/>
      <c r="BG1267" s="1140"/>
      <c r="BH1267" s="1140"/>
      <c r="BI1267" s="1140"/>
      <c r="BJ1267" s="1140"/>
      <c r="BK1267" s="1140"/>
      <c r="BL1267" s="1140"/>
      <c r="BM1267" s="1140"/>
      <c r="BN1267" s="1140"/>
      <c r="BO1267" s="1140"/>
      <c r="BP1267" s="1140"/>
      <c r="BQ1267" s="1140"/>
      <c r="BR1267" s="1140"/>
      <c r="BS1267" s="1140"/>
      <c r="BT1267" s="1140"/>
    </row>
    <row r="1268" spans="1:72" s="1145" customFormat="1" ht="16.350000000000001" customHeight="1" outlineLevel="2">
      <c r="A1268" s="1105"/>
      <c r="B1268" s="1142"/>
      <c r="C1268" s="1130"/>
      <c r="D1268" s="1130"/>
      <c r="E1268" s="1130"/>
      <c r="F1268" s="1130"/>
      <c r="G1268" s="1130"/>
      <c r="H1268" s="1130"/>
      <c r="I1268" s="1130"/>
      <c r="J1268" s="1130"/>
      <c r="K1268" s="1130"/>
      <c r="L1268" s="1143"/>
      <c r="M1268" s="1143"/>
      <c r="N1268" s="1143"/>
      <c r="O1268" s="1143"/>
      <c r="P1268" s="1143"/>
      <c r="Q1268" s="1143"/>
      <c r="R1268" s="1110"/>
      <c r="S1268" s="1144"/>
      <c r="T1268" s="1144"/>
      <c r="U1268" s="1144"/>
      <c r="V1268" s="1144"/>
      <c r="W1268" s="1144"/>
      <c r="X1268" s="1144"/>
      <c r="Y1268" s="1144"/>
      <c r="Z1268" s="1144"/>
      <c r="AA1268" s="1144"/>
      <c r="AB1268" s="1144"/>
      <c r="AC1268" s="1144"/>
      <c r="AD1268" s="1144"/>
      <c r="AE1268" s="1144"/>
      <c r="AF1268" s="1144"/>
      <c r="AG1268" s="1144"/>
      <c r="AH1268" s="1144"/>
      <c r="AI1268" s="1144"/>
      <c r="AJ1268" s="1144"/>
      <c r="AK1268" s="1144"/>
      <c r="AL1268" s="1144"/>
      <c r="AM1268" s="1144"/>
      <c r="AN1268" s="1144"/>
      <c r="AO1268" s="1144"/>
      <c r="AP1268" s="1144"/>
      <c r="AQ1268" s="1144"/>
      <c r="AR1268" s="1144"/>
      <c r="AS1268" s="1144"/>
      <c r="AT1268" s="1144"/>
      <c r="AU1268" s="1144"/>
      <c r="AV1268" s="1144"/>
      <c r="AW1268" s="1144"/>
      <c r="AX1268" s="1144"/>
      <c r="AY1268" s="1144"/>
      <c r="AZ1268" s="1144"/>
      <c r="BA1268" s="1144"/>
      <c r="BB1268" s="1144"/>
      <c r="BC1268" s="1144"/>
      <c r="BD1268" s="1144"/>
      <c r="BE1268" s="1144"/>
      <c r="BF1268" s="1144"/>
      <c r="BG1268" s="1144"/>
      <c r="BH1268" s="1144"/>
      <c r="BI1268" s="1144"/>
      <c r="BJ1268" s="1144"/>
      <c r="BK1268" s="1144"/>
      <c r="BL1268" s="1144"/>
      <c r="BM1268" s="1144"/>
      <c r="BN1268" s="1144"/>
      <c r="BO1268" s="1144"/>
      <c r="BP1268" s="1144"/>
      <c r="BQ1268" s="1144"/>
      <c r="BR1268" s="1144"/>
      <c r="BS1268" s="1144"/>
      <c r="BT1268" s="1144"/>
    </row>
    <row r="1269" spans="1:72" s="1145" customFormat="1" ht="16.350000000000001" customHeight="1" outlineLevel="2">
      <c r="A1269" s="1105"/>
      <c r="B1269" s="1142" t="s">
        <v>845</v>
      </c>
      <c r="C1269" s="1130"/>
      <c r="D1269" s="1130">
        <v>751504000</v>
      </c>
      <c r="E1269" s="1130">
        <v>93999000</v>
      </c>
      <c r="F1269" s="1130">
        <v>110219000</v>
      </c>
      <c r="G1269" s="1130">
        <f>G1257+G1264</f>
        <v>118992000</v>
      </c>
      <c r="H1269" s="1130">
        <f>H1257+H1264</f>
        <v>133776000</v>
      </c>
      <c r="I1269" s="1130">
        <f>I1257+I1264</f>
        <v>107125000</v>
      </c>
      <c r="J1269" s="1130">
        <f>J1257+J1264</f>
        <v>40345000</v>
      </c>
      <c r="K1269" s="1130">
        <f>K1257+K1264</f>
        <v>21248000</v>
      </c>
      <c r="L1269" s="1143"/>
      <c r="M1269" s="1143"/>
      <c r="N1269" s="1143"/>
      <c r="O1269" s="1143"/>
      <c r="P1269" s="1143"/>
      <c r="Q1269" s="1143"/>
      <c r="R1269" s="1110"/>
      <c r="S1269" s="1144"/>
      <c r="T1269" s="1144"/>
      <c r="U1269" s="1144"/>
      <c r="V1269" s="1144"/>
      <c r="W1269" s="1144"/>
      <c r="X1269" s="1144"/>
      <c r="Y1269" s="1144"/>
      <c r="Z1269" s="1144"/>
      <c r="AA1269" s="1144"/>
      <c r="AB1269" s="1144"/>
      <c r="AC1269" s="1144"/>
      <c r="AD1269" s="1144"/>
      <c r="AE1269" s="1144"/>
      <c r="AF1269" s="1144"/>
      <c r="AG1269" s="1144"/>
      <c r="AH1269" s="1144"/>
      <c r="AI1269" s="1144"/>
      <c r="AJ1269" s="1144"/>
      <c r="AK1269" s="1144"/>
      <c r="AL1269" s="1144"/>
      <c r="AM1269" s="1144"/>
      <c r="AN1269" s="1144"/>
      <c r="AO1269" s="1144"/>
      <c r="AP1269" s="1144"/>
      <c r="AQ1269" s="1144"/>
      <c r="AR1269" s="1144"/>
      <c r="AS1269" s="1144"/>
      <c r="AT1269" s="1144"/>
      <c r="AU1269" s="1144"/>
      <c r="AV1269" s="1144"/>
      <c r="AW1269" s="1144"/>
      <c r="AX1269" s="1144"/>
      <c r="AY1269" s="1144"/>
      <c r="AZ1269" s="1144"/>
      <c r="BA1269" s="1144"/>
      <c r="BB1269" s="1144"/>
      <c r="BC1269" s="1144"/>
      <c r="BD1269" s="1144"/>
      <c r="BE1269" s="1144"/>
      <c r="BF1269" s="1144"/>
      <c r="BG1269" s="1144"/>
      <c r="BH1269" s="1144"/>
      <c r="BI1269" s="1144"/>
      <c r="BJ1269" s="1144"/>
      <c r="BK1269" s="1144"/>
      <c r="BL1269" s="1144"/>
      <c r="BM1269" s="1144"/>
      <c r="BN1269" s="1144"/>
      <c r="BO1269" s="1144"/>
      <c r="BP1269" s="1144"/>
      <c r="BQ1269" s="1144"/>
      <c r="BR1269" s="1144"/>
      <c r="BS1269" s="1144"/>
      <c r="BT1269" s="1144"/>
    </row>
    <row r="1270" spans="1:72" s="1145" customFormat="1" ht="16.350000000000001" customHeight="1" outlineLevel="2">
      <c r="A1270" s="1105"/>
      <c r="B1270" s="1146" t="s">
        <v>846</v>
      </c>
      <c r="C1270" s="1130"/>
      <c r="D1270" s="1130">
        <f>D1271-D1269</f>
        <v>1013786000</v>
      </c>
      <c r="E1270" s="1130">
        <f>E1271-E1269</f>
        <v>657505000</v>
      </c>
      <c r="F1270" s="1130">
        <f t="shared" ref="F1270:K1270" si="159">F1271-F1269</f>
        <v>-16220000</v>
      </c>
      <c r="G1270" s="1130">
        <f t="shared" si="159"/>
        <v>-8773000</v>
      </c>
      <c r="H1270" s="1130">
        <f t="shared" si="159"/>
        <v>-14784000</v>
      </c>
      <c r="I1270" s="1130">
        <f t="shared" si="159"/>
        <v>26651000</v>
      </c>
      <c r="J1270" s="1130">
        <f t="shared" si="159"/>
        <v>66780000</v>
      </c>
      <c r="K1270" s="1130">
        <f t="shared" si="159"/>
        <v>19097000</v>
      </c>
      <c r="L1270" s="1143"/>
      <c r="M1270" s="1143"/>
      <c r="N1270" s="1143"/>
      <c r="O1270" s="1143"/>
      <c r="P1270" s="1143"/>
      <c r="Q1270" s="1143"/>
      <c r="R1270" s="1110"/>
      <c r="S1270" s="1144"/>
      <c r="T1270" s="1144"/>
      <c r="U1270" s="1144"/>
      <c r="V1270" s="1144"/>
      <c r="W1270" s="1144"/>
      <c r="X1270" s="1144"/>
      <c r="Y1270" s="1144"/>
      <c r="Z1270" s="1144"/>
      <c r="AA1270" s="1144"/>
      <c r="AB1270" s="1144"/>
      <c r="AC1270" s="1144"/>
      <c r="AD1270" s="1144"/>
      <c r="AE1270" s="1144"/>
      <c r="AF1270" s="1144"/>
      <c r="AG1270" s="1144"/>
      <c r="AH1270" s="1144"/>
      <c r="AI1270" s="1144"/>
      <c r="AJ1270" s="1144"/>
      <c r="AK1270" s="1144"/>
      <c r="AL1270" s="1144"/>
      <c r="AM1270" s="1144"/>
      <c r="AN1270" s="1144"/>
      <c r="AO1270" s="1144"/>
      <c r="AP1270" s="1144"/>
      <c r="AQ1270" s="1144"/>
      <c r="AR1270" s="1144"/>
      <c r="AS1270" s="1144"/>
      <c r="AT1270" s="1144"/>
      <c r="AU1270" s="1144"/>
      <c r="AV1270" s="1144"/>
      <c r="AW1270" s="1144"/>
      <c r="AX1270" s="1144"/>
      <c r="AY1270" s="1144"/>
      <c r="AZ1270" s="1144"/>
      <c r="BA1270" s="1144"/>
      <c r="BB1270" s="1144"/>
      <c r="BC1270" s="1144"/>
      <c r="BD1270" s="1144"/>
      <c r="BE1270" s="1144"/>
      <c r="BF1270" s="1144"/>
      <c r="BG1270" s="1144"/>
      <c r="BH1270" s="1144"/>
      <c r="BI1270" s="1144"/>
      <c r="BJ1270" s="1144"/>
      <c r="BK1270" s="1144"/>
      <c r="BL1270" s="1144"/>
      <c r="BM1270" s="1144"/>
      <c r="BN1270" s="1144"/>
      <c r="BO1270" s="1144"/>
      <c r="BP1270" s="1144"/>
      <c r="BQ1270" s="1144"/>
      <c r="BR1270" s="1144"/>
      <c r="BS1270" s="1144"/>
      <c r="BT1270" s="1144"/>
    </row>
    <row r="1271" spans="1:72" s="1141" customFormat="1" ht="16.350000000000001" customHeight="1" outlineLevel="2">
      <c r="A1271" s="1105"/>
      <c r="B1271" s="1137" t="s">
        <v>847</v>
      </c>
      <c r="C1271" s="1138"/>
      <c r="D1271" s="1138">
        <v>1765290000</v>
      </c>
      <c r="E1271" s="1138">
        <v>751504000</v>
      </c>
      <c r="F1271" s="1138">
        <v>93999000</v>
      </c>
      <c r="G1271" s="1138">
        <f>G1262+G1267</f>
        <v>110219000</v>
      </c>
      <c r="H1271" s="1138">
        <f>H1262+H1267</f>
        <v>118992000</v>
      </c>
      <c r="I1271" s="1138">
        <f>I1262+I1267</f>
        <v>133776000</v>
      </c>
      <c r="J1271" s="1138">
        <f>J1262+J1267</f>
        <v>107125000</v>
      </c>
      <c r="K1271" s="1138">
        <f>K1262+K1267</f>
        <v>40345000</v>
      </c>
      <c r="L1271" s="1139"/>
      <c r="M1271" s="1139"/>
      <c r="N1271" s="1139"/>
      <c r="O1271" s="1139"/>
      <c r="P1271" s="1139"/>
      <c r="Q1271" s="1139"/>
      <c r="R1271" s="1110"/>
      <c r="S1271" s="1140"/>
      <c r="T1271" s="1140"/>
      <c r="U1271" s="1140"/>
      <c r="V1271" s="1140"/>
      <c r="W1271" s="1140"/>
      <c r="X1271" s="1140"/>
      <c r="Y1271" s="1140"/>
      <c r="Z1271" s="1140"/>
      <c r="AA1271" s="1140"/>
      <c r="AB1271" s="1140"/>
      <c r="AC1271" s="1140"/>
      <c r="AD1271" s="1140"/>
      <c r="AE1271" s="1140"/>
      <c r="AF1271" s="1140"/>
      <c r="AG1271" s="1140"/>
      <c r="AH1271" s="1140"/>
      <c r="AI1271" s="1140"/>
      <c r="AJ1271" s="1140"/>
      <c r="AK1271" s="1140"/>
      <c r="AL1271" s="1140"/>
      <c r="AM1271" s="1140"/>
      <c r="AN1271" s="1140"/>
      <c r="AO1271" s="1140"/>
      <c r="AP1271" s="1140"/>
      <c r="AQ1271" s="1140"/>
      <c r="AR1271" s="1140"/>
      <c r="AS1271" s="1140"/>
      <c r="AT1271" s="1140"/>
      <c r="AU1271" s="1140"/>
      <c r="AV1271" s="1140"/>
      <c r="AW1271" s="1140"/>
      <c r="AX1271" s="1140"/>
      <c r="AY1271" s="1140"/>
      <c r="AZ1271" s="1140"/>
      <c r="BA1271" s="1140"/>
      <c r="BB1271" s="1140"/>
      <c r="BC1271" s="1140"/>
      <c r="BD1271" s="1140"/>
      <c r="BE1271" s="1140"/>
      <c r="BF1271" s="1140"/>
      <c r="BG1271" s="1140"/>
      <c r="BH1271" s="1140"/>
      <c r="BI1271" s="1140"/>
      <c r="BJ1271" s="1140"/>
      <c r="BK1271" s="1140"/>
      <c r="BL1271" s="1140"/>
      <c r="BM1271" s="1140"/>
      <c r="BN1271" s="1140"/>
      <c r="BO1271" s="1140"/>
      <c r="BP1271" s="1140"/>
      <c r="BQ1271" s="1140"/>
      <c r="BR1271" s="1140"/>
      <c r="BS1271" s="1140"/>
      <c r="BT1271" s="1140"/>
    </row>
    <row r="1272" spans="1:72" ht="16.350000000000001" customHeight="1" outlineLevel="2">
      <c r="A1272" s="1105"/>
      <c r="B1272" s="1167"/>
      <c r="C1272" s="1168"/>
      <c r="D1272" s="1168"/>
      <c r="E1272" s="1168"/>
      <c r="F1272" s="1168"/>
      <c r="G1272" s="1168"/>
      <c r="H1272" s="1169"/>
      <c r="I1272" s="1169"/>
      <c r="J1272" s="1169"/>
      <c r="K1272" s="1169"/>
      <c r="L1272" s="1170"/>
      <c r="M1272" s="1170"/>
      <c r="N1272" s="1170"/>
      <c r="O1272" s="1170"/>
      <c r="P1272" s="1171"/>
      <c r="Q1272" s="1171"/>
      <c r="R1272" s="1110"/>
    </row>
    <row r="1273" spans="1:72" s="1125" customFormat="1" ht="16.350000000000001" customHeight="1" outlineLevel="1">
      <c r="A1273" s="1105"/>
      <c r="B1273" s="1126" t="s">
        <v>98</v>
      </c>
      <c r="C1273" s="1122"/>
      <c r="D1273" s="1122">
        <v>2636596000</v>
      </c>
      <c r="E1273" s="1122">
        <v>2383011000</v>
      </c>
      <c r="F1273" s="1122">
        <v>1138038000</v>
      </c>
      <c r="G1273" s="1122">
        <f>G1289</f>
        <v>1069622000</v>
      </c>
      <c r="H1273" s="1127">
        <f>H1289</f>
        <v>630616000</v>
      </c>
      <c r="I1273" s="1127">
        <f>I1289</f>
        <v>500773000</v>
      </c>
      <c r="J1273" s="1127">
        <f>J1289</f>
        <v>337380000</v>
      </c>
      <c r="K1273" s="1127">
        <f>K1289</f>
        <v>203919000</v>
      </c>
      <c r="L1273" s="1128"/>
      <c r="M1273" s="1128"/>
      <c r="N1273" s="1128"/>
      <c r="O1273" s="1128"/>
      <c r="P1273" s="1128"/>
      <c r="Q1273" s="1128"/>
      <c r="R1273" s="1110"/>
      <c r="S1273" s="1124"/>
      <c r="T1273" s="1124"/>
      <c r="U1273" s="1124"/>
      <c r="V1273" s="1124"/>
      <c r="W1273" s="1124"/>
      <c r="X1273" s="1124"/>
      <c r="Y1273" s="1124"/>
      <c r="Z1273" s="1124"/>
      <c r="AA1273" s="1124"/>
      <c r="AB1273" s="1124"/>
      <c r="AC1273" s="1124"/>
      <c r="AD1273" s="1124"/>
      <c r="AE1273" s="1124"/>
      <c r="AF1273" s="1124"/>
      <c r="AG1273" s="1124"/>
      <c r="AH1273" s="1124"/>
      <c r="AI1273" s="1124"/>
      <c r="AJ1273" s="1124"/>
      <c r="AK1273" s="1124"/>
      <c r="AL1273" s="1124"/>
      <c r="AM1273" s="1124"/>
      <c r="AN1273" s="1124"/>
      <c r="AO1273" s="1124"/>
      <c r="AP1273" s="1124"/>
      <c r="AQ1273" s="1124"/>
      <c r="AR1273" s="1124"/>
      <c r="AS1273" s="1124"/>
      <c r="AT1273" s="1124"/>
      <c r="AU1273" s="1124"/>
      <c r="AV1273" s="1124"/>
      <c r="AW1273" s="1124"/>
      <c r="AX1273" s="1124"/>
      <c r="AY1273" s="1124"/>
      <c r="AZ1273" s="1124"/>
      <c r="BA1273" s="1124"/>
      <c r="BB1273" s="1124"/>
      <c r="BC1273" s="1124"/>
      <c r="BD1273" s="1124"/>
      <c r="BE1273" s="1124"/>
      <c r="BF1273" s="1124"/>
      <c r="BG1273" s="1124"/>
      <c r="BH1273" s="1124"/>
      <c r="BI1273" s="1124"/>
      <c r="BJ1273" s="1124"/>
      <c r="BK1273" s="1124"/>
      <c r="BL1273" s="1124"/>
      <c r="BM1273" s="1124"/>
      <c r="BN1273" s="1124"/>
      <c r="BO1273" s="1124"/>
      <c r="BP1273" s="1124"/>
      <c r="BQ1273" s="1124"/>
      <c r="BR1273" s="1124"/>
      <c r="BS1273" s="1124"/>
      <c r="BT1273" s="1124"/>
    </row>
    <row r="1274" spans="1:72" s="1125" customFormat="1" ht="16.350000000000001" customHeight="1" outlineLevel="2">
      <c r="A1274" s="1105"/>
      <c r="B1274" s="1126"/>
      <c r="C1274" s="1122"/>
      <c r="D1274" s="1122"/>
      <c r="E1274" s="1122"/>
      <c r="F1274" s="1122"/>
      <c r="G1274" s="1122"/>
      <c r="H1274" s="1127"/>
      <c r="I1274" s="1127"/>
      <c r="J1274" s="1127"/>
      <c r="K1274" s="1127"/>
      <c r="L1274" s="1128"/>
      <c r="M1274" s="1128"/>
      <c r="N1274" s="1128"/>
      <c r="O1274" s="1128"/>
      <c r="P1274" s="1128"/>
      <c r="Q1274" s="1128"/>
      <c r="R1274" s="1110"/>
      <c r="S1274" s="1124"/>
      <c r="T1274" s="1124"/>
      <c r="U1274" s="1124"/>
      <c r="V1274" s="1124"/>
      <c r="W1274" s="1124"/>
      <c r="X1274" s="1124"/>
      <c r="Y1274" s="1124"/>
      <c r="Z1274" s="1124"/>
      <c r="AA1274" s="1124"/>
      <c r="AB1274" s="1124"/>
      <c r="AC1274" s="1124"/>
      <c r="AD1274" s="1124"/>
      <c r="AE1274" s="1124"/>
      <c r="AF1274" s="1124"/>
      <c r="AG1274" s="1124"/>
      <c r="AH1274" s="1124"/>
      <c r="AI1274" s="1124"/>
      <c r="AJ1274" s="1124"/>
      <c r="AK1274" s="1124"/>
      <c r="AL1274" s="1124"/>
      <c r="AM1274" s="1124"/>
      <c r="AN1274" s="1124"/>
      <c r="AO1274" s="1124"/>
      <c r="AP1274" s="1124"/>
      <c r="AQ1274" s="1124"/>
      <c r="AR1274" s="1124"/>
      <c r="AS1274" s="1124"/>
      <c r="AT1274" s="1124"/>
      <c r="AU1274" s="1124"/>
      <c r="AV1274" s="1124"/>
      <c r="AW1274" s="1124"/>
      <c r="AX1274" s="1124"/>
      <c r="AY1274" s="1124"/>
      <c r="AZ1274" s="1124"/>
      <c r="BA1274" s="1124"/>
      <c r="BB1274" s="1124"/>
      <c r="BC1274" s="1124"/>
      <c r="BD1274" s="1124"/>
      <c r="BE1274" s="1124"/>
      <c r="BF1274" s="1124"/>
      <c r="BG1274" s="1124"/>
      <c r="BH1274" s="1124"/>
      <c r="BI1274" s="1124"/>
      <c r="BJ1274" s="1124"/>
      <c r="BK1274" s="1124"/>
      <c r="BL1274" s="1124"/>
      <c r="BM1274" s="1124"/>
      <c r="BN1274" s="1124"/>
      <c r="BO1274" s="1124"/>
      <c r="BP1274" s="1124"/>
      <c r="BQ1274" s="1124"/>
      <c r="BR1274" s="1124"/>
      <c r="BS1274" s="1124"/>
      <c r="BT1274" s="1124"/>
    </row>
    <row r="1275" spans="1:72" s="1145" customFormat="1" ht="16.350000000000001" customHeight="1" outlineLevel="2">
      <c r="A1275" s="1105"/>
      <c r="B1275" s="1142" t="s">
        <v>838</v>
      </c>
      <c r="C1275" s="1130"/>
      <c r="D1275" s="1130">
        <v>2383011000</v>
      </c>
      <c r="E1275" s="1130">
        <v>1940162000</v>
      </c>
      <c r="F1275" s="1130">
        <v>1649234000</v>
      </c>
      <c r="G1275" s="1130">
        <f>H1280</f>
        <v>941168000</v>
      </c>
      <c r="H1275" s="1130">
        <f>I1280</f>
        <v>683331000</v>
      </c>
      <c r="I1275" s="1130">
        <f>J1280</f>
        <v>527123000</v>
      </c>
      <c r="J1275" s="1130">
        <f>K1280</f>
        <v>332066000</v>
      </c>
      <c r="K1275" s="1130">
        <v>191524000</v>
      </c>
      <c r="L1275" s="1143"/>
      <c r="M1275" s="1143"/>
      <c r="N1275" s="1143"/>
      <c r="O1275" s="1143"/>
      <c r="P1275" s="1143"/>
      <c r="Q1275" s="1143"/>
      <c r="R1275" s="1110"/>
      <c r="S1275" s="1144"/>
      <c r="T1275" s="1144"/>
      <c r="U1275" s="1144"/>
      <c r="V1275" s="1144"/>
      <c r="W1275" s="1144"/>
      <c r="X1275" s="1144"/>
      <c r="Y1275" s="1144"/>
      <c r="Z1275" s="1144"/>
      <c r="AA1275" s="1144"/>
      <c r="AB1275" s="1144"/>
      <c r="AC1275" s="1144"/>
      <c r="AD1275" s="1144"/>
      <c r="AE1275" s="1144"/>
      <c r="AF1275" s="1144"/>
      <c r="AG1275" s="1144"/>
      <c r="AH1275" s="1144"/>
      <c r="AI1275" s="1144"/>
      <c r="AJ1275" s="1144"/>
      <c r="AK1275" s="1144"/>
      <c r="AL1275" s="1144"/>
      <c r="AM1275" s="1144"/>
      <c r="AN1275" s="1144"/>
      <c r="AO1275" s="1144"/>
      <c r="AP1275" s="1144"/>
      <c r="AQ1275" s="1144"/>
      <c r="AR1275" s="1144"/>
      <c r="AS1275" s="1144"/>
      <c r="AT1275" s="1144"/>
      <c r="AU1275" s="1144"/>
      <c r="AV1275" s="1144"/>
      <c r="AW1275" s="1144"/>
      <c r="AX1275" s="1144"/>
      <c r="AY1275" s="1144"/>
      <c r="AZ1275" s="1144"/>
      <c r="BA1275" s="1144"/>
      <c r="BB1275" s="1144"/>
      <c r="BC1275" s="1144"/>
      <c r="BD1275" s="1144"/>
      <c r="BE1275" s="1144"/>
      <c r="BF1275" s="1144"/>
      <c r="BG1275" s="1144"/>
      <c r="BH1275" s="1144"/>
      <c r="BI1275" s="1144"/>
      <c r="BJ1275" s="1144"/>
      <c r="BK1275" s="1144"/>
      <c r="BL1275" s="1144"/>
      <c r="BM1275" s="1144"/>
      <c r="BN1275" s="1144"/>
      <c r="BO1275" s="1144"/>
      <c r="BP1275" s="1144"/>
      <c r="BQ1275" s="1144"/>
      <c r="BR1275" s="1144"/>
      <c r="BS1275" s="1144"/>
      <c r="BT1275" s="1144"/>
    </row>
    <row r="1276" spans="1:72" s="1145" customFormat="1" ht="16.350000000000001" customHeight="1" outlineLevel="2">
      <c r="A1276" s="1105"/>
      <c r="B1276" s="1133" t="s">
        <v>839</v>
      </c>
      <c r="C1276" s="1130"/>
      <c r="D1276" s="1130">
        <v>12776000</v>
      </c>
      <c r="E1276" s="1130"/>
      <c r="F1276" s="1130"/>
      <c r="G1276" s="1130"/>
      <c r="H1276" s="1130"/>
      <c r="I1276" s="1130"/>
      <c r="J1276" s="1130"/>
      <c r="K1276" s="1130"/>
      <c r="L1276" s="1143"/>
      <c r="M1276" s="1143"/>
      <c r="N1276" s="1143"/>
      <c r="O1276" s="1143"/>
      <c r="P1276" s="1143"/>
      <c r="Q1276" s="1143"/>
      <c r="R1276" s="1110"/>
      <c r="S1276" s="1144"/>
      <c r="T1276" s="1144"/>
      <c r="U1276" s="1144"/>
      <c r="V1276" s="1144"/>
      <c r="W1276" s="1144"/>
      <c r="X1276" s="1144"/>
      <c r="Y1276" s="1144"/>
      <c r="Z1276" s="1144"/>
      <c r="AA1276" s="1144"/>
      <c r="AB1276" s="1144"/>
      <c r="AC1276" s="1144"/>
      <c r="AD1276" s="1144"/>
      <c r="AE1276" s="1144"/>
      <c r="AF1276" s="1144"/>
      <c r="AG1276" s="1144"/>
      <c r="AH1276" s="1144"/>
      <c r="AI1276" s="1144"/>
      <c r="AJ1276" s="1144"/>
      <c r="AK1276" s="1144"/>
      <c r="AL1276" s="1144"/>
      <c r="AM1276" s="1144"/>
      <c r="AN1276" s="1144"/>
      <c r="AO1276" s="1144"/>
      <c r="AP1276" s="1144"/>
      <c r="AQ1276" s="1144"/>
      <c r="AR1276" s="1144"/>
      <c r="AS1276" s="1144"/>
      <c r="AT1276" s="1144"/>
      <c r="AU1276" s="1144"/>
      <c r="AV1276" s="1144"/>
      <c r="AW1276" s="1144"/>
      <c r="AX1276" s="1144"/>
      <c r="AY1276" s="1144"/>
      <c r="AZ1276" s="1144"/>
      <c r="BA1276" s="1144"/>
      <c r="BB1276" s="1144"/>
      <c r="BC1276" s="1144"/>
      <c r="BD1276" s="1144"/>
      <c r="BE1276" s="1144"/>
      <c r="BF1276" s="1144"/>
      <c r="BG1276" s="1144"/>
      <c r="BH1276" s="1144"/>
      <c r="BI1276" s="1144"/>
      <c r="BJ1276" s="1144"/>
      <c r="BK1276" s="1144"/>
      <c r="BL1276" s="1144"/>
      <c r="BM1276" s="1144"/>
      <c r="BN1276" s="1144"/>
      <c r="BO1276" s="1144"/>
      <c r="BP1276" s="1144"/>
      <c r="BQ1276" s="1144"/>
      <c r="BR1276" s="1144"/>
      <c r="BS1276" s="1144"/>
      <c r="BT1276" s="1144"/>
    </row>
    <row r="1277" spans="1:72" s="450" customFormat="1" ht="16.350000000000001" customHeight="1" outlineLevel="2">
      <c r="A1277" s="1105"/>
      <c r="B1277" s="1133" t="s">
        <v>53</v>
      </c>
      <c r="C1277" s="1130"/>
      <c r="D1277" s="1130">
        <v>792353000</v>
      </c>
      <c r="E1277" s="1130">
        <v>726338000</v>
      </c>
      <c r="F1277" s="1130">
        <v>475602000</v>
      </c>
      <c r="G1277" s="1130">
        <v>770588000</v>
      </c>
      <c r="H1277" s="1130">
        <v>328715000</v>
      </c>
      <c r="I1277" s="1130">
        <v>341934000</v>
      </c>
      <c r="J1277" s="1130">
        <v>309465000</v>
      </c>
      <c r="K1277" s="1130">
        <v>183733000</v>
      </c>
      <c r="L1277" s="1134"/>
      <c r="M1277" s="1134"/>
      <c r="N1277" s="1134"/>
      <c r="O1277" s="1134"/>
      <c r="P1277" s="1134"/>
      <c r="Q1277" s="1134"/>
      <c r="R1277" s="1110"/>
      <c r="S1277" s="1135"/>
      <c r="T1277" s="1135"/>
      <c r="U1277" s="1135"/>
      <c r="V1277" s="1135"/>
      <c r="W1277" s="1135"/>
      <c r="X1277" s="1135"/>
      <c r="Y1277" s="1135"/>
      <c r="Z1277" s="1135"/>
      <c r="AA1277" s="1135"/>
      <c r="AB1277" s="1135"/>
      <c r="AC1277" s="1135"/>
      <c r="AD1277" s="1135"/>
      <c r="AE1277" s="1135"/>
      <c r="AF1277" s="1135"/>
      <c r="AG1277" s="1135"/>
      <c r="AH1277" s="1135"/>
      <c r="AI1277" s="1135"/>
      <c r="AJ1277" s="1135"/>
      <c r="AK1277" s="1135"/>
      <c r="AL1277" s="1135"/>
      <c r="AM1277" s="1135"/>
      <c r="AN1277" s="1135"/>
      <c r="AO1277" s="1135"/>
      <c r="AP1277" s="1135"/>
      <c r="AQ1277" s="1135"/>
      <c r="AR1277" s="1135"/>
      <c r="AS1277" s="1135"/>
      <c r="AT1277" s="1135"/>
      <c r="AU1277" s="1135"/>
      <c r="AV1277" s="1135"/>
      <c r="AW1277" s="1135"/>
      <c r="AX1277" s="1135"/>
      <c r="AY1277" s="1135"/>
      <c r="AZ1277" s="1135"/>
      <c r="BA1277" s="1135"/>
      <c r="BB1277" s="1135"/>
      <c r="BC1277" s="1135"/>
      <c r="BD1277" s="1135"/>
      <c r="BE1277" s="1135"/>
      <c r="BF1277" s="1135"/>
      <c r="BG1277" s="1135"/>
      <c r="BH1277" s="1135"/>
      <c r="BI1277" s="1135"/>
      <c r="BJ1277" s="1135"/>
      <c r="BK1277" s="1135"/>
      <c r="BL1277" s="1135"/>
      <c r="BM1277" s="1135"/>
      <c r="BN1277" s="1135"/>
      <c r="BO1277" s="1135"/>
      <c r="BP1277" s="1135"/>
      <c r="BQ1277" s="1135"/>
      <c r="BR1277" s="1135"/>
      <c r="BS1277" s="1135"/>
      <c r="BT1277" s="1135"/>
    </row>
    <row r="1278" spans="1:72" s="450" customFormat="1" ht="16.350000000000001" customHeight="1" outlineLevel="2">
      <c r="A1278" s="1105"/>
      <c r="B1278" s="1133" t="s">
        <v>840</v>
      </c>
      <c r="C1278" s="1130"/>
      <c r="D1278" s="1130"/>
      <c r="E1278" s="1130">
        <v>0</v>
      </c>
      <c r="F1278" s="1130">
        <v>0</v>
      </c>
      <c r="G1278" s="1130">
        <v>0</v>
      </c>
      <c r="H1278" s="1130">
        <v>0</v>
      </c>
      <c r="I1278" s="1130">
        <v>0</v>
      </c>
      <c r="J1278" s="1130">
        <v>0</v>
      </c>
      <c r="K1278" s="1130">
        <v>0</v>
      </c>
      <c r="L1278" s="1134"/>
      <c r="M1278" s="1134"/>
      <c r="N1278" s="1134"/>
      <c r="O1278" s="1134"/>
      <c r="P1278" s="1134"/>
      <c r="Q1278" s="1134"/>
      <c r="R1278" s="1110"/>
      <c r="S1278" s="1135"/>
      <c r="T1278" s="1135"/>
      <c r="U1278" s="1135"/>
      <c r="V1278" s="1135"/>
      <c r="W1278" s="1135"/>
      <c r="X1278" s="1135"/>
      <c r="Y1278" s="1135"/>
      <c r="Z1278" s="1135"/>
      <c r="AA1278" s="1135"/>
      <c r="AB1278" s="1135"/>
      <c r="AC1278" s="1135"/>
      <c r="AD1278" s="1135"/>
      <c r="AE1278" s="1135"/>
      <c r="AF1278" s="1135"/>
      <c r="AG1278" s="1135"/>
      <c r="AH1278" s="1135"/>
      <c r="AI1278" s="1135"/>
      <c r="AJ1278" s="1135"/>
      <c r="AK1278" s="1135"/>
      <c r="AL1278" s="1135"/>
      <c r="AM1278" s="1135"/>
      <c r="AN1278" s="1135"/>
      <c r="AO1278" s="1135"/>
      <c r="AP1278" s="1135"/>
      <c r="AQ1278" s="1135"/>
      <c r="AR1278" s="1135"/>
      <c r="AS1278" s="1135"/>
      <c r="AT1278" s="1135"/>
      <c r="AU1278" s="1135"/>
      <c r="AV1278" s="1135"/>
      <c r="AW1278" s="1135"/>
      <c r="AX1278" s="1135"/>
      <c r="AY1278" s="1135"/>
      <c r="AZ1278" s="1135"/>
      <c r="BA1278" s="1135"/>
      <c r="BB1278" s="1135"/>
      <c r="BC1278" s="1135"/>
      <c r="BD1278" s="1135"/>
      <c r="BE1278" s="1135"/>
      <c r="BF1278" s="1135"/>
      <c r="BG1278" s="1135"/>
      <c r="BH1278" s="1135"/>
      <c r="BI1278" s="1135"/>
      <c r="BJ1278" s="1135"/>
      <c r="BK1278" s="1135"/>
      <c r="BL1278" s="1135"/>
      <c r="BM1278" s="1135"/>
      <c r="BN1278" s="1135"/>
      <c r="BO1278" s="1135"/>
      <c r="BP1278" s="1135"/>
      <c r="BQ1278" s="1135"/>
      <c r="BR1278" s="1135"/>
      <c r="BS1278" s="1135"/>
      <c r="BT1278" s="1135"/>
    </row>
    <row r="1279" spans="1:72" s="450" customFormat="1" ht="16.350000000000001" customHeight="1" outlineLevel="2">
      <c r="A1279" s="1105"/>
      <c r="B1279" s="1133" t="s">
        <v>54</v>
      </c>
      <c r="C1279" s="1130"/>
      <c r="D1279" s="1130">
        <v>-551544000</v>
      </c>
      <c r="E1279" s="1130">
        <v>-283489000</v>
      </c>
      <c r="F1279" s="1130">
        <v>-184674000</v>
      </c>
      <c r="G1279" s="1130">
        <v>-62522000</v>
      </c>
      <c r="H1279" s="1130">
        <v>-70878000</v>
      </c>
      <c r="I1279" s="1130">
        <v>-185726000</v>
      </c>
      <c r="J1279" s="1130">
        <v>-114408000</v>
      </c>
      <c r="K1279" s="1130">
        <v>-43191000</v>
      </c>
      <c r="L1279" s="1134"/>
      <c r="M1279" s="1134"/>
      <c r="N1279" s="1134"/>
      <c r="O1279" s="1134"/>
      <c r="P1279" s="1134"/>
      <c r="Q1279" s="1134"/>
      <c r="R1279" s="1110"/>
      <c r="S1279" s="1135"/>
      <c r="T1279" s="1135"/>
      <c r="U1279" s="1135"/>
      <c r="V1279" s="1135"/>
      <c r="W1279" s="1135"/>
      <c r="X1279" s="1135"/>
      <c r="Y1279" s="1135"/>
      <c r="Z1279" s="1135"/>
      <c r="AA1279" s="1135"/>
      <c r="AB1279" s="1135"/>
      <c r="AC1279" s="1135"/>
      <c r="AD1279" s="1135"/>
      <c r="AE1279" s="1135"/>
      <c r="AF1279" s="1135"/>
      <c r="AG1279" s="1135"/>
      <c r="AH1279" s="1135"/>
      <c r="AI1279" s="1135"/>
      <c r="AJ1279" s="1135"/>
      <c r="AK1279" s="1135"/>
      <c r="AL1279" s="1135"/>
      <c r="AM1279" s="1135"/>
      <c r="AN1279" s="1135"/>
      <c r="AO1279" s="1135"/>
      <c r="AP1279" s="1135"/>
      <c r="AQ1279" s="1135"/>
      <c r="AR1279" s="1135"/>
      <c r="AS1279" s="1135"/>
      <c r="AT1279" s="1135"/>
      <c r="AU1279" s="1135"/>
      <c r="AV1279" s="1135"/>
      <c r="AW1279" s="1135"/>
      <c r="AX1279" s="1135"/>
      <c r="AY1279" s="1135"/>
      <c r="AZ1279" s="1135"/>
      <c r="BA1279" s="1135"/>
      <c r="BB1279" s="1135"/>
      <c r="BC1279" s="1135"/>
      <c r="BD1279" s="1135"/>
      <c r="BE1279" s="1135"/>
      <c r="BF1279" s="1135"/>
      <c r="BG1279" s="1135"/>
      <c r="BH1279" s="1135"/>
      <c r="BI1279" s="1135"/>
      <c r="BJ1279" s="1135"/>
      <c r="BK1279" s="1135"/>
      <c r="BL1279" s="1135"/>
      <c r="BM1279" s="1135"/>
      <c r="BN1279" s="1135"/>
      <c r="BO1279" s="1135"/>
      <c r="BP1279" s="1135"/>
      <c r="BQ1279" s="1135"/>
      <c r="BR1279" s="1135"/>
      <c r="BS1279" s="1135"/>
      <c r="BT1279" s="1135"/>
    </row>
    <row r="1280" spans="1:72" s="1141" customFormat="1" ht="16.350000000000001" customHeight="1" outlineLevel="2">
      <c r="A1280" s="1105"/>
      <c r="B1280" s="1137" t="s">
        <v>842</v>
      </c>
      <c r="C1280" s="1138"/>
      <c r="D1280" s="1138">
        <v>2636596000</v>
      </c>
      <c r="E1280" s="1138">
        <v>2383011000</v>
      </c>
      <c r="F1280" s="1138">
        <v>1940162000</v>
      </c>
      <c r="G1280" s="1138">
        <f>G1275+G1277+G1279</f>
        <v>1649234000</v>
      </c>
      <c r="H1280" s="1138">
        <f>H1275+H1277+H1279</f>
        <v>941168000</v>
      </c>
      <c r="I1280" s="1138">
        <f>I1275+I1277+I1279</f>
        <v>683331000</v>
      </c>
      <c r="J1280" s="1138">
        <f>J1275+J1277+J1279</f>
        <v>527123000</v>
      </c>
      <c r="K1280" s="1138">
        <f>K1275+K1277+K1279</f>
        <v>332066000</v>
      </c>
      <c r="L1280" s="1139"/>
      <c r="M1280" s="1139"/>
      <c r="N1280" s="1139"/>
      <c r="O1280" s="1139"/>
      <c r="P1280" s="1139"/>
      <c r="Q1280" s="1139"/>
      <c r="R1280" s="1110"/>
      <c r="S1280" s="1140"/>
      <c r="T1280" s="1140"/>
      <c r="U1280" s="1140"/>
      <c r="V1280" s="1140"/>
      <c r="W1280" s="1140"/>
      <c r="X1280" s="1140"/>
      <c r="Y1280" s="1140"/>
      <c r="Z1280" s="1140"/>
      <c r="AA1280" s="1140"/>
      <c r="AB1280" s="1140"/>
      <c r="AC1280" s="1140"/>
      <c r="AD1280" s="1140"/>
      <c r="AE1280" s="1140"/>
      <c r="AF1280" s="1140"/>
      <c r="AG1280" s="1140"/>
      <c r="AH1280" s="1140"/>
      <c r="AI1280" s="1140"/>
      <c r="AJ1280" s="1140"/>
      <c r="AK1280" s="1140"/>
      <c r="AL1280" s="1140"/>
      <c r="AM1280" s="1140"/>
      <c r="AN1280" s="1140"/>
      <c r="AO1280" s="1140"/>
      <c r="AP1280" s="1140"/>
      <c r="AQ1280" s="1140"/>
      <c r="AR1280" s="1140"/>
      <c r="AS1280" s="1140"/>
      <c r="AT1280" s="1140"/>
      <c r="AU1280" s="1140"/>
      <c r="AV1280" s="1140"/>
      <c r="AW1280" s="1140"/>
      <c r="AX1280" s="1140"/>
      <c r="AY1280" s="1140"/>
      <c r="AZ1280" s="1140"/>
      <c r="BA1280" s="1140"/>
      <c r="BB1280" s="1140"/>
      <c r="BC1280" s="1140"/>
      <c r="BD1280" s="1140"/>
      <c r="BE1280" s="1140"/>
      <c r="BF1280" s="1140"/>
      <c r="BG1280" s="1140"/>
      <c r="BH1280" s="1140"/>
      <c r="BI1280" s="1140"/>
      <c r="BJ1280" s="1140"/>
      <c r="BK1280" s="1140"/>
      <c r="BL1280" s="1140"/>
      <c r="BM1280" s="1140"/>
      <c r="BN1280" s="1140"/>
      <c r="BO1280" s="1140"/>
      <c r="BP1280" s="1140"/>
      <c r="BQ1280" s="1140"/>
      <c r="BR1280" s="1140"/>
      <c r="BS1280" s="1140"/>
      <c r="BT1280" s="1140"/>
    </row>
    <row r="1281" spans="1:72" s="1125" customFormat="1" ht="16.350000000000001" customHeight="1" outlineLevel="2">
      <c r="A1281" s="1105"/>
      <c r="B1281" s="1166"/>
      <c r="C1281" s="1122"/>
      <c r="D1281" s="1122"/>
      <c r="E1281" s="1122"/>
      <c r="F1281" s="1122"/>
      <c r="G1281" s="1122"/>
      <c r="H1281" s="1122"/>
      <c r="I1281" s="1122"/>
      <c r="J1281" s="1122"/>
      <c r="K1281" s="1122"/>
      <c r="L1281" s="1123"/>
      <c r="M1281" s="1123"/>
      <c r="N1281" s="1123"/>
      <c r="O1281" s="1123"/>
      <c r="P1281" s="1123"/>
      <c r="Q1281" s="1123"/>
      <c r="R1281" s="1110"/>
      <c r="S1281" s="1124"/>
      <c r="T1281" s="1124"/>
      <c r="U1281" s="1124"/>
      <c r="V1281" s="1124"/>
      <c r="W1281" s="1124"/>
      <c r="X1281" s="1124"/>
      <c r="Y1281" s="1124"/>
      <c r="Z1281" s="1124"/>
      <c r="AA1281" s="1124"/>
      <c r="AB1281" s="1124"/>
      <c r="AC1281" s="1124"/>
      <c r="AD1281" s="1124"/>
      <c r="AE1281" s="1124"/>
      <c r="AF1281" s="1124"/>
      <c r="AG1281" s="1124"/>
      <c r="AH1281" s="1124"/>
      <c r="AI1281" s="1124"/>
      <c r="AJ1281" s="1124"/>
      <c r="AK1281" s="1124"/>
      <c r="AL1281" s="1124"/>
      <c r="AM1281" s="1124"/>
      <c r="AN1281" s="1124"/>
      <c r="AO1281" s="1124"/>
      <c r="AP1281" s="1124"/>
      <c r="AQ1281" s="1124"/>
      <c r="AR1281" s="1124"/>
      <c r="AS1281" s="1124"/>
      <c r="AT1281" s="1124"/>
      <c r="AU1281" s="1124"/>
      <c r="AV1281" s="1124"/>
      <c r="AW1281" s="1124"/>
      <c r="AX1281" s="1124"/>
      <c r="AY1281" s="1124"/>
      <c r="AZ1281" s="1124"/>
      <c r="BA1281" s="1124"/>
      <c r="BB1281" s="1124"/>
      <c r="BC1281" s="1124"/>
      <c r="BD1281" s="1124"/>
      <c r="BE1281" s="1124"/>
      <c r="BF1281" s="1124"/>
      <c r="BG1281" s="1124"/>
      <c r="BH1281" s="1124"/>
      <c r="BI1281" s="1124"/>
      <c r="BJ1281" s="1124"/>
      <c r="BK1281" s="1124"/>
      <c r="BL1281" s="1124"/>
      <c r="BM1281" s="1124"/>
      <c r="BN1281" s="1124"/>
      <c r="BO1281" s="1124"/>
      <c r="BP1281" s="1124"/>
      <c r="BQ1281" s="1124"/>
      <c r="BR1281" s="1124"/>
      <c r="BS1281" s="1124"/>
      <c r="BT1281" s="1124"/>
    </row>
    <row r="1282" spans="1:72" s="1145" customFormat="1" ht="16.350000000000001" customHeight="1" outlineLevel="2">
      <c r="A1282" s="1105"/>
      <c r="B1282" s="1142" t="s">
        <v>854</v>
      </c>
      <c r="C1282" s="1130"/>
      <c r="D1282" s="1130">
        <v>-1081804000</v>
      </c>
      <c r="E1282" s="1130">
        <v>-802124000</v>
      </c>
      <c r="F1282" s="1130">
        <v>-579612000</v>
      </c>
      <c r="G1282" s="1130">
        <f>H1285</f>
        <v>-310552000</v>
      </c>
      <c r="H1282" s="1130">
        <f>I1285</f>
        <v>-182558000</v>
      </c>
      <c r="I1282" s="1130">
        <f>J1285</f>
        <v>-189743000</v>
      </c>
      <c r="J1282" s="1130">
        <f>K1285</f>
        <v>-128147000</v>
      </c>
      <c r="K1282" s="1130">
        <v>-46181000</v>
      </c>
      <c r="L1282" s="1143"/>
      <c r="M1282" s="1143"/>
      <c r="N1282" s="1143"/>
      <c r="O1282" s="1143"/>
      <c r="P1282" s="1143"/>
      <c r="Q1282" s="1143"/>
      <c r="R1282" s="1110"/>
      <c r="S1282" s="1144"/>
      <c r="T1282" s="1144"/>
      <c r="U1282" s="1144"/>
      <c r="V1282" s="1144"/>
      <c r="W1282" s="1144"/>
      <c r="X1282" s="1144"/>
      <c r="Y1282" s="1144"/>
      <c r="Z1282" s="1144"/>
      <c r="AA1282" s="1144"/>
      <c r="AB1282" s="1144"/>
      <c r="AC1282" s="1144"/>
      <c r="AD1282" s="1144"/>
      <c r="AE1282" s="1144"/>
      <c r="AF1282" s="1144"/>
      <c r="AG1282" s="1144"/>
      <c r="AH1282" s="1144"/>
      <c r="AI1282" s="1144"/>
      <c r="AJ1282" s="1144"/>
      <c r="AK1282" s="1144"/>
      <c r="AL1282" s="1144"/>
      <c r="AM1282" s="1144"/>
      <c r="AN1282" s="1144"/>
      <c r="AO1282" s="1144"/>
      <c r="AP1282" s="1144"/>
      <c r="AQ1282" s="1144"/>
      <c r="AR1282" s="1144"/>
      <c r="AS1282" s="1144"/>
      <c r="AT1282" s="1144"/>
      <c r="AU1282" s="1144"/>
      <c r="AV1282" s="1144"/>
      <c r="AW1282" s="1144"/>
      <c r="AX1282" s="1144"/>
      <c r="AY1282" s="1144"/>
      <c r="AZ1282" s="1144"/>
      <c r="BA1282" s="1144"/>
      <c r="BB1282" s="1144"/>
      <c r="BC1282" s="1144"/>
      <c r="BD1282" s="1144"/>
      <c r="BE1282" s="1144"/>
      <c r="BF1282" s="1144"/>
      <c r="BG1282" s="1144"/>
      <c r="BH1282" s="1144"/>
      <c r="BI1282" s="1144"/>
      <c r="BJ1282" s="1144"/>
      <c r="BK1282" s="1144"/>
      <c r="BL1282" s="1144"/>
      <c r="BM1282" s="1144"/>
      <c r="BN1282" s="1144"/>
      <c r="BO1282" s="1144"/>
      <c r="BP1282" s="1144"/>
      <c r="BQ1282" s="1144"/>
      <c r="BR1282" s="1144"/>
      <c r="BS1282" s="1144"/>
      <c r="BT1282" s="1144"/>
    </row>
    <row r="1283" spans="1:72" s="450" customFormat="1" ht="16.350000000000001" customHeight="1" outlineLevel="2">
      <c r="A1283" s="1105"/>
      <c r="B1283" s="1133" t="s">
        <v>94</v>
      </c>
      <c r="C1283" s="1130"/>
      <c r="D1283" s="1130">
        <v>-666968000</v>
      </c>
      <c r="E1283" s="1130">
        <v>-563169000</v>
      </c>
      <c r="F1283" s="1130">
        <v>-407188000</v>
      </c>
      <c r="G1283" s="1130">
        <v>-331582000</v>
      </c>
      <c r="H1283" s="1130">
        <v>-198846000</v>
      </c>
      <c r="I1283" s="1130">
        <v>-178541000</v>
      </c>
      <c r="J1283" s="1130">
        <v>-176004000</v>
      </c>
      <c r="K1283" s="1130">
        <v>-125156000</v>
      </c>
      <c r="L1283" s="1134"/>
      <c r="M1283" s="1134"/>
      <c r="N1283" s="1134"/>
      <c r="O1283" s="1134"/>
      <c r="P1283" s="1134"/>
      <c r="Q1283" s="1134"/>
      <c r="R1283" s="1110"/>
      <c r="S1283" s="1135"/>
      <c r="T1283" s="1135"/>
      <c r="U1283" s="1135"/>
      <c r="V1283" s="1135"/>
      <c r="W1283" s="1135"/>
      <c r="X1283" s="1135"/>
      <c r="Y1283" s="1135"/>
      <c r="Z1283" s="1135"/>
      <c r="AA1283" s="1135"/>
      <c r="AB1283" s="1135"/>
      <c r="AC1283" s="1135"/>
      <c r="AD1283" s="1135"/>
      <c r="AE1283" s="1135"/>
      <c r="AF1283" s="1135"/>
      <c r="AG1283" s="1135"/>
      <c r="AH1283" s="1135"/>
      <c r="AI1283" s="1135"/>
      <c r="AJ1283" s="1135"/>
      <c r="AK1283" s="1135"/>
      <c r="AL1283" s="1135"/>
      <c r="AM1283" s="1135"/>
      <c r="AN1283" s="1135"/>
      <c r="AO1283" s="1135"/>
      <c r="AP1283" s="1135"/>
      <c r="AQ1283" s="1135"/>
      <c r="AR1283" s="1135"/>
      <c r="AS1283" s="1135"/>
      <c r="AT1283" s="1135"/>
      <c r="AU1283" s="1135"/>
      <c r="AV1283" s="1135"/>
      <c r="AW1283" s="1135"/>
      <c r="AX1283" s="1135"/>
      <c r="AY1283" s="1135"/>
      <c r="AZ1283" s="1135"/>
      <c r="BA1283" s="1135"/>
      <c r="BB1283" s="1135"/>
      <c r="BC1283" s="1135"/>
      <c r="BD1283" s="1135"/>
      <c r="BE1283" s="1135"/>
      <c r="BF1283" s="1135"/>
      <c r="BG1283" s="1135"/>
      <c r="BH1283" s="1135"/>
      <c r="BI1283" s="1135"/>
      <c r="BJ1283" s="1135"/>
      <c r="BK1283" s="1135"/>
      <c r="BL1283" s="1135"/>
      <c r="BM1283" s="1135"/>
      <c r="BN1283" s="1135"/>
      <c r="BO1283" s="1135"/>
      <c r="BP1283" s="1135"/>
      <c r="BQ1283" s="1135"/>
      <c r="BR1283" s="1135"/>
      <c r="BS1283" s="1135"/>
      <c r="BT1283" s="1135"/>
    </row>
    <row r="1284" spans="1:72" s="450" customFormat="1" ht="16.350000000000001" customHeight="1" outlineLevel="2">
      <c r="A1284" s="1105"/>
      <c r="B1284" s="1133" t="s">
        <v>54</v>
      </c>
      <c r="C1284" s="1130"/>
      <c r="D1284" s="1130">
        <v>551544000</v>
      </c>
      <c r="E1284" s="1130">
        <v>283489000</v>
      </c>
      <c r="F1284" s="1130">
        <v>184676000</v>
      </c>
      <c r="G1284" s="1130">
        <v>62522000</v>
      </c>
      <c r="H1284" s="1130">
        <v>70852000</v>
      </c>
      <c r="I1284" s="1130">
        <v>185726000</v>
      </c>
      <c r="J1284" s="1130">
        <v>114408000</v>
      </c>
      <c r="K1284" s="1130">
        <v>43190000</v>
      </c>
      <c r="L1284" s="1134"/>
      <c r="M1284" s="1134"/>
      <c r="N1284" s="1134"/>
      <c r="O1284" s="1134"/>
      <c r="P1284" s="1134"/>
      <c r="Q1284" s="1134"/>
      <c r="R1284" s="1110"/>
      <c r="S1284" s="1135"/>
      <c r="T1284" s="1135"/>
      <c r="U1284" s="1135"/>
      <c r="V1284" s="1135"/>
      <c r="W1284" s="1135"/>
      <c r="X1284" s="1135"/>
      <c r="Y1284" s="1135"/>
      <c r="Z1284" s="1135"/>
      <c r="AA1284" s="1135"/>
      <c r="AB1284" s="1135"/>
      <c r="AC1284" s="1135"/>
      <c r="AD1284" s="1135"/>
      <c r="AE1284" s="1135"/>
      <c r="AF1284" s="1135"/>
      <c r="AG1284" s="1135"/>
      <c r="AH1284" s="1135"/>
      <c r="AI1284" s="1135"/>
      <c r="AJ1284" s="1135"/>
      <c r="AK1284" s="1135"/>
      <c r="AL1284" s="1135"/>
      <c r="AM1284" s="1135"/>
      <c r="AN1284" s="1135"/>
      <c r="AO1284" s="1135"/>
      <c r="AP1284" s="1135"/>
      <c r="AQ1284" s="1135"/>
      <c r="AR1284" s="1135"/>
      <c r="AS1284" s="1135"/>
      <c r="AT1284" s="1135"/>
      <c r="AU1284" s="1135"/>
      <c r="AV1284" s="1135"/>
      <c r="AW1284" s="1135"/>
      <c r="AX1284" s="1135"/>
      <c r="AY1284" s="1135"/>
      <c r="AZ1284" s="1135"/>
      <c r="BA1284" s="1135"/>
      <c r="BB1284" s="1135"/>
      <c r="BC1284" s="1135"/>
      <c r="BD1284" s="1135"/>
      <c r="BE1284" s="1135"/>
      <c r="BF1284" s="1135"/>
      <c r="BG1284" s="1135"/>
      <c r="BH1284" s="1135"/>
      <c r="BI1284" s="1135"/>
      <c r="BJ1284" s="1135"/>
      <c r="BK1284" s="1135"/>
      <c r="BL1284" s="1135"/>
      <c r="BM1284" s="1135"/>
      <c r="BN1284" s="1135"/>
      <c r="BO1284" s="1135"/>
      <c r="BP1284" s="1135"/>
      <c r="BQ1284" s="1135"/>
      <c r="BR1284" s="1135"/>
      <c r="BS1284" s="1135"/>
      <c r="BT1284" s="1135"/>
    </row>
    <row r="1285" spans="1:72" s="1141" customFormat="1" ht="16.350000000000001" customHeight="1" outlineLevel="2">
      <c r="A1285" s="1105"/>
      <c r="B1285" s="1137" t="s">
        <v>844</v>
      </c>
      <c r="C1285" s="1138"/>
      <c r="D1285" s="1138">
        <v>-1197228000</v>
      </c>
      <c r="E1285" s="1138">
        <v>-1081804000</v>
      </c>
      <c r="F1285" s="1138">
        <v>-802124000</v>
      </c>
      <c r="G1285" s="1138">
        <f>G1282+G1283+G1284</f>
        <v>-579612000</v>
      </c>
      <c r="H1285" s="1138">
        <f>H1282+H1283+H1284</f>
        <v>-310552000</v>
      </c>
      <c r="I1285" s="1138">
        <f>I1282+I1283+I1284</f>
        <v>-182558000</v>
      </c>
      <c r="J1285" s="1138">
        <f>J1282+J1283+J1284</f>
        <v>-189743000</v>
      </c>
      <c r="K1285" s="1138">
        <f>K1282+K1283+K1284</f>
        <v>-128147000</v>
      </c>
      <c r="L1285" s="1139"/>
      <c r="M1285" s="1139"/>
      <c r="N1285" s="1139"/>
      <c r="O1285" s="1139"/>
      <c r="P1285" s="1139"/>
      <c r="Q1285" s="1139"/>
      <c r="R1285" s="1110"/>
      <c r="S1285" s="1140"/>
      <c r="T1285" s="1140"/>
      <c r="U1285" s="1140"/>
      <c r="V1285" s="1140"/>
      <c r="W1285" s="1140"/>
      <c r="X1285" s="1140"/>
      <c r="Y1285" s="1140"/>
      <c r="Z1285" s="1140"/>
      <c r="AA1285" s="1140"/>
      <c r="AB1285" s="1140"/>
      <c r="AC1285" s="1140"/>
      <c r="AD1285" s="1140"/>
      <c r="AE1285" s="1140"/>
      <c r="AF1285" s="1140"/>
      <c r="AG1285" s="1140"/>
      <c r="AH1285" s="1140"/>
      <c r="AI1285" s="1140"/>
      <c r="AJ1285" s="1140"/>
      <c r="AK1285" s="1140"/>
      <c r="AL1285" s="1140"/>
      <c r="AM1285" s="1140"/>
      <c r="AN1285" s="1140"/>
      <c r="AO1285" s="1140"/>
      <c r="AP1285" s="1140"/>
      <c r="AQ1285" s="1140"/>
      <c r="AR1285" s="1140"/>
      <c r="AS1285" s="1140"/>
      <c r="AT1285" s="1140"/>
      <c r="AU1285" s="1140"/>
      <c r="AV1285" s="1140"/>
      <c r="AW1285" s="1140"/>
      <c r="AX1285" s="1140"/>
      <c r="AY1285" s="1140"/>
      <c r="AZ1285" s="1140"/>
      <c r="BA1285" s="1140"/>
      <c r="BB1285" s="1140"/>
      <c r="BC1285" s="1140"/>
      <c r="BD1285" s="1140"/>
      <c r="BE1285" s="1140"/>
      <c r="BF1285" s="1140"/>
      <c r="BG1285" s="1140"/>
      <c r="BH1285" s="1140"/>
      <c r="BI1285" s="1140"/>
      <c r="BJ1285" s="1140"/>
      <c r="BK1285" s="1140"/>
      <c r="BL1285" s="1140"/>
      <c r="BM1285" s="1140"/>
      <c r="BN1285" s="1140"/>
      <c r="BO1285" s="1140"/>
      <c r="BP1285" s="1140"/>
      <c r="BQ1285" s="1140"/>
      <c r="BR1285" s="1140"/>
      <c r="BS1285" s="1140"/>
      <c r="BT1285" s="1140"/>
    </row>
    <row r="1286" spans="1:72" s="1145" customFormat="1" ht="16.350000000000001" customHeight="1" outlineLevel="2">
      <c r="A1286" s="1105"/>
      <c r="B1286" s="1142"/>
      <c r="C1286" s="1130"/>
      <c r="D1286" s="1130"/>
      <c r="E1286" s="1130"/>
      <c r="F1286" s="1130"/>
      <c r="G1286" s="1130"/>
      <c r="H1286" s="1130"/>
      <c r="I1286" s="1130"/>
      <c r="J1286" s="1130"/>
      <c r="K1286" s="1130"/>
      <c r="L1286" s="1143"/>
      <c r="M1286" s="1143"/>
      <c r="N1286" s="1143"/>
      <c r="O1286" s="1143"/>
      <c r="P1286" s="1143"/>
      <c r="Q1286" s="1143"/>
      <c r="R1286" s="1110"/>
      <c r="S1286" s="1144"/>
      <c r="T1286" s="1144"/>
      <c r="U1286" s="1144"/>
      <c r="V1286" s="1144"/>
      <c r="W1286" s="1144"/>
      <c r="X1286" s="1144"/>
      <c r="Y1286" s="1144"/>
      <c r="Z1286" s="1144"/>
      <c r="AA1286" s="1144"/>
      <c r="AB1286" s="1144"/>
      <c r="AC1286" s="1144"/>
      <c r="AD1286" s="1144"/>
      <c r="AE1286" s="1144"/>
      <c r="AF1286" s="1144"/>
      <c r="AG1286" s="1144"/>
      <c r="AH1286" s="1144"/>
      <c r="AI1286" s="1144"/>
      <c r="AJ1286" s="1144"/>
      <c r="AK1286" s="1144"/>
      <c r="AL1286" s="1144"/>
      <c r="AM1286" s="1144"/>
      <c r="AN1286" s="1144"/>
      <c r="AO1286" s="1144"/>
      <c r="AP1286" s="1144"/>
      <c r="AQ1286" s="1144"/>
      <c r="AR1286" s="1144"/>
      <c r="AS1286" s="1144"/>
      <c r="AT1286" s="1144"/>
      <c r="AU1286" s="1144"/>
      <c r="AV1286" s="1144"/>
      <c r="AW1286" s="1144"/>
      <c r="AX1286" s="1144"/>
      <c r="AY1286" s="1144"/>
      <c r="AZ1286" s="1144"/>
      <c r="BA1286" s="1144"/>
      <c r="BB1286" s="1144"/>
      <c r="BC1286" s="1144"/>
      <c r="BD1286" s="1144"/>
      <c r="BE1286" s="1144"/>
      <c r="BF1286" s="1144"/>
      <c r="BG1286" s="1144"/>
      <c r="BH1286" s="1144"/>
      <c r="BI1286" s="1144"/>
      <c r="BJ1286" s="1144"/>
      <c r="BK1286" s="1144"/>
      <c r="BL1286" s="1144"/>
      <c r="BM1286" s="1144"/>
      <c r="BN1286" s="1144"/>
      <c r="BO1286" s="1144"/>
      <c r="BP1286" s="1144"/>
      <c r="BQ1286" s="1144"/>
      <c r="BR1286" s="1144"/>
      <c r="BS1286" s="1144"/>
      <c r="BT1286" s="1144"/>
    </row>
    <row r="1287" spans="1:72" s="1145" customFormat="1" ht="16.350000000000001" customHeight="1" outlineLevel="2">
      <c r="A1287" s="1105"/>
      <c r="B1287" s="1142" t="s">
        <v>845</v>
      </c>
      <c r="C1287" s="1130"/>
      <c r="D1287" s="1130">
        <v>1301207000</v>
      </c>
      <c r="E1287" s="1130">
        <v>1138038000</v>
      </c>
      <c r="F1287" s="1130">
        <v>1069622000</v>
      </c>
      <c r="G1287" s="1130">
        <f>G1275+G1282</f>
        <v>630616000</v>
      </c>
      <c r="H1287" s="1130">
        <f>H1275+H1282</f>
        <v>500773000</v>
      </c>
      <c r="I1287" s="1130">
        <f>I1275+I1282</f>
        <v>337380000</v>
      </c>
      <c r="J1287" s="1130">
        <f>J1275+J1282</f>
        <v>203919000</v>
      </c>
      <c r="K1287" s="1130">
        <f>K1275+K1282</f>
        <v>145343000</v>
      </c>
      <c r="L1287" s="1143"/>
      <c r="M1287" s="1143"/>
      <c r="N1287" s="1143"/>
      <c r="O1287" s="1143"/>
      <c r="P1287" s="1143"/>
      <c r="Q1287" s="1143"/>
      <c r="R1287" s="1110"/>
      <c r="S1287" s="1144"/>
      <c r="T1287" s="1144"/>
      <c r="U1287" s="1144"/>
      <c r="V1287" s="1144"/>
      <c r="W1287" s="1144"/>
      <c r="X1287" s="1144"/>
      <c r="Y1287" s="1144"/>
      <c r="Z1287" s="1144"/>
      <c r="AA1287" s="1144"/>
      <c r="AB1287" s="1144"/>
      <c r="AC1287" s="1144"/>
      <c r="AD1287" s="1144"/>
      <c r="AE1287" s="1144"/>
      <c r="AF1287" s="1144"/>
      <c r="AG1287" s="1144"/>
      <c r="AH1287" s="1144"/>
      <c r="AI1287" s="1144"/>
      <c r="AJ1287" s="1144"/>
      <c r="AK1287" s="1144"/>
      <c r="AL1287" s="1144"/>
      <c r="AM1287" s="1144"/>
      <c r="AN1287" s="1144"/>
      <c r="AO1287" s="1144"/>
      <c r="AP1287" s="1144"/>
      <c r="AQ1287" s="1144"/>
      <c r="AR1287" s="1144"/>
      <c r="AS1287" s="1144"/>
      <c r="AT1287" s="1144"/>
      <c r="AU1287" s="1144"/>
      <c r="AV1287" s="1144"/>
      <c r="AW1287" s="1144"/>
      <c r="AX1287" s="1144"/>
      <c r="AY1287" s="1144"/>
      <c r="AZ1287" s="1144"/>
      <c r="BA1287" s="1144"/>
      <c r="BB1287" s="1144"/>
      <c r="BC1287" s="1144"/>
      <c r="BD1287" s="1144"/>
      <c r="BE1287" s="1144"/>
      <c r="BF1287" s="1144"/>
      <c r="BG1287" s="1144"/>
      <c r="BH1287" s="1144"/>
      <c r="BI1287" s="1144"/>
      <c r="BJ1287" s="1144"/>
      <c r="BK1287" s="1144"/>
      <c r="BL1287" s="1144"/>
      <c r="BM1287" s="1144"/>
      <c r="BN1287" s="1144"/>
      <c r="BO1287" s="1144"/>
      <c r="BP1287" s="1144"/>
      <c r="BQ1287" s="1144"/>
      <c r="BR1287" s="1144"/>
      <c r="BS1287" s="1144"/>
      <c r="BT1287" s="1144"/>
    </row>
    <row r="1288" spans="1:72" s="1145" customFormat="1" ht="16.350000000000001" customHeight="1" outlineLevel="2">
      <c r="A1288" s="1105"/>
      <c r="B1288" s="1146" t="s">
        <v>846</v>
      </c>
      <c r="C1288" s="1130"/>
      <c r="D1288" s="1130">
        <f>D1289-D1287</f>
        <v>138161000</v>
      </c>
      <c r="E1288" s="1130">
        <f>E1289-E1287</f>
        <v>163169000</v>
      </c>
      <c r="F1288" s="1130">
        <f t="shared" ref="F1288:K1288" si="160">F1289-F1287</f>
        <v>68416000</v>
      </c>
      <c r="G1288" s="1130">
        <f t="shared" si="160"/>
        <v>439006000</v>
      </c>
      <c r="H1288" s="1130">
        <f t="shared" si="160"/>
        <v>129843000</v>
      </c>
      <c r="I1288" s="1130">
        <f t="shared" si="160"/>
        <v>163393000</v>
      </c>
      <c r="J1288" s="1130">
        <f t="shared" si="160"/>
        <v>133461000</v>
      </c>
      <c r="K1288" s="1130">
        <f t="shared" si="160"/>
        <v>58576000</v>
      </c>
      <c r="L1288" s="1143"/>
      <c r="M1288" s="1143"/>
      <c r="N1288" s="1143"/>
      <c r="O1288" s="1143"/>
      <c r="P1288" s="1143"/>
      <c r="Q1288" s="1143"/>
      <c r="R1288" s="1110"/>
      <c r="S1288" s="1144"/>
      <c r="T1288" s="1144"/>
      <c r="U1288" s="1144"/>
      <c r="V1288" s="1144"/>
      <c r="W1288" s="1144"/>
      <c r="X1288" s="1144"/>
      <c r="Y1288" s="1144"/>
      <c r="Z1288" s="1144"/>
      <c r="AA1288" s="1144"/>
      <c r="AB1288" s="1144"/>
      <c r="AC1288" s="1144"/>
      <c r="AD1288" s="1144"/>
      <c r="AE1288" s="1144"/>
      <c r="AF1288" s="1144"/>
      <c r="AG1288" s="1144"/>
      <c r="AH1288" s="1144"/>
      <c r="AI1288" s="1144"/>
      <c r="AJ1288" s="1144"/>
      <c r="AK1288" s="1144"/>
      <c r="AL1288" s="1144"/>
      <c r="AM1288" s="1144"/>
      <c r="AN1288" s="1144"/>
      <c r="AO1288" s="1144"/>
      <c r="AP1288" s="1144"/>
      <c r="AQ1288" s="1144"/>
      <c r="AR1288" s="1144"/>
      <c r="AS1288" s="1144"/>
      <c r="AT1288" s="1144"/>
      <c r="AU1288" s="1144"/>
      <c r="AV1288" s="1144"/>
      <c r="AW1288" s="1144"/>
      <c r="AX1288" s="1144"/>
      <c r="AY1288" s="1144"/>
      <c r="AZ1288" s="1144"/>
      <c r="BA1288" s="1144"/>
      <c r="BB1288" s="1144"/>
      <c r="BC1288" s="1144"/>
      <c r="BD1288" s="1144"/>
      <c r="BE1288" s="1144"/>
      <c r="BF1288" s="1144"/>
      <c r="BG1288" s="1144"/>
      <c r="BH1288" s="1144"/>
      <c r="BI1288" s="1144"/>
      <c r="BJ1288" s="1144"/>
      <c r="BK1288" s="1144"/>
      <c r="BL1288" s="1144"/>
      <c r="BM1288" s="1144"/>
      <c r="BN1288" s="1144"/>
      <c r="BO1288" s="1144"/>
      <c r="BP1288" s="1144"/>
      <c r="BQ1288" s="1144"/>
      <c r="BR1288" s="1144"/>
      <c r="BS1288" s="1144"/>
      <c r="BT1288" s="1144"/>
    </row>
    <row r="1289" spans="1:72" s="1141" customFormat="1" ht="16.350000000000001" customHeight="1" outlineLevel="2">
      <c r="A1289" s="1105"/>
      <c r="B1289" s="1137" t="s">
        <v>847</v>
      </c>
      <c r="C1289" s="1138"/>
      <c r="D1289" s="1138">
        <v>1439368000</v>
      </c>
      <c r="E1289" s="1138">
        <v>1301207000</v>
      </c>
      <c r="F1289" s="1138">
        <v>1138038000</v>
      </c>
      <c r="G1289" s="1138">
        <f>G1280+G1285</f>
        <v>1069622000</v>
      </c>
      <c r="H1289" s="1138">
        <f>H1280+H1285</f>
        <v>630616000</v>
      </c>
      <c r="I1289" s="1138">
        <f>I1280+I1285</f>
        <v>500773000</v>
      </c>
      <c r="J1289" s="1138">
        <f>J1280+J1285</f>
        <v>337380000</v>
      </c>
      <c r="K1289" s="1138">
        <f>K1280+K1285</f>
        <v>203919000</v>
      </c>
      <c r="L1289" s="1139"/>
      <c r="M1289" s="1139"/>
      <c r="N1289" s="1139"/>
      <c r="O1289" s="1139"/>
      <c r="P1289" s="1139"/>
      <c r="Q1289" s="1139"/>
      <c r="R1289" s="1110"/>
      <c r="S1289" s="1140"/>
      <c r="T1289" s="1140"/>
      <c r="U1289" s="1140"/>
      <c r="V1289" s="1140"/>
      <c r="W1289" s="1140"/>
      <c r="X1289" s="1140"/>
      <c r="Y1289" s="1140"/>
      <c r="Z1289" s="1140"/>
      <c r="AA1289" s="1140"/>
      <c r="AB1289" s="1140"/>
      <c r="AC1289" s="1140"/>
      <c r="AD1289" s="1140"/>
      <c r="AE1289" s="1140"/>
      <c r="AF1289" s="1140"/>
      <c r="AG1289" s="1140"/>
      <c r="AH1289" s="1140"/>
      <c r="AI1289" s="1140"/>
      <c r="AJ1289" s="1140"/>
      <c r="AK1289" s="1140"/>
      <c r="AL1289" s="1140"/>
      <c r="AM1289" s="1140"/>
      <c r="AN1289" s="1140"/>
      <c r="AO1289" s="1140"/>
      <c r="AP1289" s="1140"/>
      <c r="AQ1289" s="1140"/>
      <c r="AR1289" s="1140"/>
      <c r="AS1289" s="1140"/>
      <c r="AT1289" s="1140"/>
      <c r="AU1289" s="1140"/>
      <c r="AV1289" s="1140"/>
      <c r="AW1289" s="1140"/>
      <c r="AX1289" s="1140"/>
      <c r="AY1289" s="1140"/>
      <c r="AZ1289" s="1140"/>
      <c r="BA1289" s="1140"/>
      <c r="BB1289" s="1140"/>
      <c r="BC1289" s="1140"/>
      <c r="BD1289" s="1140"/>
      <c r="BE1289" s="1140"/>
      <c r="BF1289" s="1140"/>
      <c r="BG1289" s="1140"/>
      <c r="BH1289" s="1140"/>
      <c r="BI1289" s="1140"/>
      <c r="BJ1289" s="1140"/>
      <c r="BK1289" s="1140"/>
      <c r="BL1289" s="1140"/>
      <c r="BM1289" s="1140"/>
      <c r="BN1289" s="1140"/>
      <c r="BO1289" s="1140"/>
      <c r="BP1289" s="1140"/>
      <c r="BQ1289" s="1140"/>
      <c r="BR1289" s="1140"/>
      <c r="BS1289" s="1140"/>
      <c r="BT1289" s="1140"/>
    </row>
    <row r="1290" spans="1:72" ht="16.350000000000001" customHeight="1" outlineLevel="2">
      <c r="A1290" s="1105"/>
      <c r="B1290" s="1167"/>
      <c r="C1290" s="1168"/>
      <c r="D1290" s="1168"/>
      <c r="E1290" s="1168"/>
      <c r="F1290" s="1168"/>
      <c r="G1290" s="1168"/>
      <c r="H1290" s="1169"/>
      <c r="I1290" s="1169"/>
      <c r="J1290" s="1169"/>
      <c r="K1290" s="1169"/>
      <c r="L1290" s="1170"/>
      <c r="M1290" s="1170"/>
      <c r="N1290" s="1170"/>
      <c r="O1290" s="1170"/>
      <c r="P1290" s="1171"/>
      <c r="Q1290" s="1171"/>
      <c r="R1290" s="1110"/>
    </row>
    <row r="1291" spans="1:72" s="1125" customFormat="1" ht="16.350000000000001" customHeight="1" outlineLevel="1">
      <c r="A1291" s="1105"/>
      <c r="B1291" s="1126" t="s">
        <v>858</v>
      </c>
      <c r="C1291" s="1122"/>
      <c r="D1291" s="1122">
        <v>31721000</v>
      </c>
      <c r="E1291" s="1122">
        <v>29706000</v>
      </c>
      <c r="F1291" s="1122">
        <v>3274000</v>
      </c>
      <c r="G1291" s="1122">
        <f>G1307</f>
        <v>4886000</v>
      </c>
      <c r="H1291" s="1127">
        <f>H1307</f>
        <v>8805000</v>
      </c>
      <c r="I1291" s="1127">
        <f>I1307</f>
        <v>12305000</v>
      </c>
      <c r="J1291" s="1127">
        <f>J1307</f>
        <v>15355000</v>
      </c>
      <c r="K1291" s="1127">
        <f>K1307</f>
        <v>1176000</v>
      </c>
      <c r="L1291" s="1128"/>
      <c r="M1291" s="1128"/>
      <c r="N1291" s="1128"/>
      <c r="O1291" s="1128"/>
      <c r="P1291" s="1128"/>
      <c r="Q1291" s="1128"/>
      <c r="R1291" s="1110"/>
      <c r="S1291" s="1124"/>
      <c r="T1291" s="1124"/>
      <c r="U1291" s="1124"/>
      <c r="V1291" s="1124"/>
      <c r="W1291" s="1124"/>
      <c r="X1291" s="1124"/>
      <c r="Y1291" s="1124"/>
      <c r="Z1291" s="1124"/>
      <c r="AA1291" s="1124"/>
      <c r="AB1291" s="1124"/>
      <c r="AC1291" s="1124"/>
      <c r="AD1291" s="1124"/>
      <c r="AE1291" s="1124"/>
      <c r="AF1291" s="1124"/>
      <c r="AG1291" s="1124"/>
      <c r="AH1291" s="1124"/>
      <c r="AI1291" s="1124"/>
      <c r="AJ1291" s="1124"/>
      <c r="AK1291" s="1124"/>
      <c r="AL1291" s="1124"/>
      <c r="AM1291" s="1124"/>
      <c r="AN1291" s="1124"/>
      <c r="AO1291" s="1124"/>
      <c r="AP1291" s="1124"/>
      <c r="AQ1291" s="1124"/>
      <c r="AR1291" s="1124"/>
      <c r="AS1291" s="1124"/>
      <c r="AT1291" s="1124"/>
      <c r="AU1291" s="1124"/>
      <c r="AV1291" s="1124"/>
      <c r="AW1291" s="1124"/>
      <c r="AX1291" s="1124"/>
      <c r="AY1291" s="1124"/>
      <c r="AZ1291" s="1124"/>
      <c r="BA1291" s="1124"/>
      <c r="BB1291" s="1124"/>
      <c r="BC1291" s="1124"/>
      <c r="BD1291" s="1124"/>
      <c r="BE1291" s="1124"/>
      <c r="BF1291" s="1124"/>
      <c r="BG1291" s="1124"/>
      <c r="BH1291" s="1124"/>
      <c r="BI1291" s="1124"/>
      <c r="BJ1291" s="1124"/>
      <c r="BK1291" s="1124"/>
      <c r="BL1291" s="1124"/>
      <c r="BM1291" s="1124"/>
      <c r="BN1291" s="1124"/>
      <c r="BO1291" s="1124"/>
      <c r="BP1291" s="1124"/>
      <c r="BQ1291" s="1124"/>
      <c r="BR1291" s="1124"/>
      <c r="BS1291" s="1124"/>
      <c r="BT1291" s="1124"/>
    </row>
    <row r="1292" spans="1:72" s="1125" customFormat="1" ht="16.350000000000001" customHeight="1" outlineLevel="2">
      <c r="A1292" s="1105"/>
      <c r="B1292" s="1126"/>
      <c r="C1292" s="1122"/>
      <c r="D1292" s="1122"/>
      <c r="E1292" s="1122"/>
      <c r="F1292" s="1122"/>
      <c r="G1292" s="1122"/>
      <c r="H1292" s="1127"/>
      <c r="I1292" s="1127"/>
      <c r="J1292" s="1127"/>
      <c r="K1292" s="1127"/>
      <c r="L1292" s="1128"/>
      <c r="M1292" s="1128"/>
      <c r="N1292" s="1128"/>
      <c r="O1292" s="1128"/>
      <c r="P1292" s="1128"/>
      <c r="Q1292" s="1128"/>
      <c r="R1292" s="1110"/>
      <c r="S1292" s="1124"/>
      <c r="T1292" s="1124"/>
      <c r="U1292" s="1124"/>
      <c r="V1292" s="1124"/>
      <c r="W1292" s="1124"/>
      <c r="X1292" s="1124"/>
      <c r="Y1292" s="1124"/>
      <c r="Z1292" s="1124"/>
      <c r="AA1292" s="1124"/>
      <c r="AB1292" s="1124"/>
      <c r="AC1292" s="1124"/>
      <c r="AD1292" s="1124"/>
      <c r="AE1292" s="1124"/>
      <c r="AF1292" s="1124"/>
      <c r="AG1292" s="1124"/>
      <c r="AH1292" s="1124"/>
      <c r="AI1292" s="1124"/>
      <c r="AJ1292" s="1124"/>
      <c r="AK1292" s="1124"/>
      <c r="AL1292" s="1124"/>
      <c r="AM1292" s="1124"/>
      <c r="AN1292" s="1124"/>
      <c r="AO1292" s="1124"/>
      <c r="AP1292" s="1124"/>
      <c r="AQ1292" s="1124"/>
      <c r="AR1292" s="1124"/>
      <c r="AS1292" s="1124"/>
      <c r="AT1292" s="1124"/>
      <c r="AU1292" s="1124"/>
      <c r="AV1292" s="1124"/>
      <c r="AW1292" s="1124"/>
      <c r="AX1292" s="1124"/>
      <c r="AY1292" s="1124"/>
      <c r="AZ1292" s="1124"/>
      <c r="BA1292" s="1124"/>
      <c r="BB1292" s="1124"/>
      <c r="BC1292" s="1124"/>
      <c r="BD1292" s="1124"/>
      <c r="BE1292" s="1124"/>
      <c r="BF1292" s="1124"/>
      <c r="BG1292" s="1124"/>
      <c r="BH1292" s="1124"/>
      <c r="BI1292" s="1124"/>
      <c r="BJ1292" s="1124"/>
      <c r="BK1292" s="1124"/>
      <c r="BL1292" s="1124"/>
      <c r="BM1292" s="1124"/>
      <c r="BN1292" s="1124"/>
      <c r="BO1292" s="1124"/>
      <c r="BP1292" s="1124"/>
      <c r="BQ1292" s="1124"/>
      <c r="BR1292" s="1124"/>
      <c r="BS1292" s="1124"/>
      <c r="BT1292" s="1124"/>
    </row>
    <row r="1293" spans="1:72" s="1145" customFormat="1" ht="16.350000000000001" customHeight="1" outlineLevel="2">
      <c r="A1293" s="1105"/>
      <c r="B1293" s="1142" t="s">
        <v>838</v>
      </c>
      <c r="C1293" s="1130"/>
      <c r="D1293" s="1130">
        <v>29706000</v>
      </c>
      <c r="E1293" s="1130">
        <v>4955000</v>
      </c>
      <c r="F1293" s="1130">
        <v>21998000</v>
      </c>
      <c r="G1293" s="1130">
        <f>H1298</f>
        <v>21877000</v>
      </c>
      <c r="H1293" s="1130">
        <f>I1298</f>
        <v>22050000</v>
      </c>
      <c r="I1293" s="1130">
        <f>J1298</f>
        <v>21586000</v>
      </c>
      <c r="J1293" s="1130">
        <v>4040000</v>
      </c>
      <c r="K1293" s="1130">
        <v>4088000</v>
      </c>
      <c r="L1293" s="1143"/>
      <c r="M1293" s="1143"/>
      <c r="N1293" s="1143"/>
      <c r="O1293" s="1143"/>
      <c r="P1293" s="1143"/>
      <c r="Q1293" s="1143"/>
      <c r="R1293" s="1110"/>
      <c r="S1293" s="1144"/>
      <c r="T1293" s="1144"/>
      <c r="U1293" s="1144"/>
      <c r="V1293" s="1144"/>
      <c r="W1293" s="1144"/>
      <c r="X1293" s="1144"/>
      <c r="Y1293" s="1144"/>
      <c r="Z1293" s="1144"/>
      <c r="AA1293" s="1144"/>
      <c r="AB1293" s="1144"/>
      <c r="AC1293" s="1144"/>
      <c r="AD1293" s="1144"/>
      <c r="AE1293" s="1144"/>
      <c r="AF1293" s="1144"/>
      <c r="AG1293" s="1144"/>
      <c r="AH1293" s="1144"/>
      <c r="AI1293" s="1144"/>
      <c r="AJ1293" s="1144"/>
      <c r="AK1293" s="1144"/>
      <c r="AL1293" s="1144"/>
      <c r="AM1293" s="1144"/>
      <c r="AN1293" s="1144"/>
      <c r="AO1293" s="1144"/>
      <c r="AP1293" s="1144"/>
      <c r="AQ1293" s="1144"/>
      <c r="AR1293" s="1144"/>
      <c r="AS1293" s="1144"/>
      <c r="AT1293" s="1144"/>
      <c r="AU1293" s="1144"/>
      <c r="AV1293" s="1144"/>
      <c r="AW1293" s="1144"/>
      <c r="AX1293" s="1144"/>
      <c r="AY1293" s="1144"/>
      <c r="AZ1293" s="1144"/>
      <c r="BA1293" s="1144"/>
      <c r="BB1293" s="1144"/>
      <c r="BC1293" s="1144"/>
      <c r="BD1293" s="1144"/>
      <c r="BE1293" s="1144"/>
      <c r="BF1293" s="1144"/>
      <c r="BG1293" s="1144"/>
      <c r="BH1293" s="1144"/>
      <c r="BI1293" s="1144"/>
      <c r="BJ1293" s="1144"/>
      <c r="BK1293" s="1144"/>
      <c r="BL1293" s="1144"/>
      <c r="BM1293" s="1144"/>
      <c r="BN1293" s="1144"/>
      <c r="BO1293" s="1144"/>
      <c r="BP1293" s="1144"/>
      <c r="BQ1293" s="1144"/>
      <c r="BR1293" s="1144"/>
      <c r="BS1293" s="1144"/>
      <c r="BT1293" s="1144"/>
    </row>
    <row r="1294" spans="1:72" s="1145" customFormat="1" ht="16.350000000000001" customHeight="1" outlineLevel="2">
      <c r="A1294" s="1105"/>
      <c r="B1294" s="1133" t="s">
        <v>839</v>
      </c>
      <c r="C1294" s="1130"/>
      <c r="D1294" s="1130"/>
      <c r="E1294" s="1130"/>
      <c r="F1294" s="1130"/>
      <c r="G1294" s="1130"/>
      <c r="H1294" s="1130"/>
      <c r="I1294" s="1130"/>
      <c r="J1294" s="1130"/>
      <c r="K1294" s="1130"/>
      <c r="L1294" s="1143"/>
      <c r="M1294" s="1143"/>
      <c r="N1294" s="1143"/>
      <c r="O1294" s="1143"/>
      <c r="P1294" s="1143"/>
      <c r="Q1294" s="1143"/>
      <c r="R1294" s="1110"/>
      <c r="S1294" s="1144"/>
      <c r="T1294" s="1144"/>
      <c r="U1294" s="1144"/>
      <c r="V1294" s="1144"/>
      <c r="W1294" s="1144"/>
      <c r="X1294" s="1144"/>
      <c r="Y1294" s="1144"/>
      <c r="Z1294" s="1144"/>
      <c r="AA1294" s="1144"/>
      <c r="AB1294" s="1144"/>
      <c r="AC1294" s="1144"/>
      <c r="AD1294" s="1144"/>
      <c r="AE1294" s="1144"/>
      <c r="AF1294" s="1144"/>
      <c r="AG1294" s="1144"/>
      <c r="AH1294" s="1144"/>
      <c r="AI1294" s="1144"/>
      <c r="AJ1294" s="1144"/>
      <c r="AK1294" s="1144"/>
      <c r="AL1294" s="1144"/>
      <c r="AM1294" s="1144"/>
      <c r="AN1294" s="1144"/>
      <c r="AO1294" s="1144"/>
      <c r="AP1294" s="1144"/>
      <c r="AQ1294" s="1144"/>
      <c r="AR1294" s="1144"/>
      <c r="AS1294" s="1144"/>
      <c r="AT1294" s="1144"/>
      <c r="AU1294" s="1144"/>
      <c r="AV1294" s="1144"/>
      <c r="AW1294" s="1144"/>
      <c r="AX1294" s="1144"/>
      <c r="AY1294" s="1144"/>
      <c r="AZ1294" s="1144"/>
      <c r="BA1294" s="1144"/>
      <c r="BB1294" s="1144"/>
      <c r="BC1294" s="1144"/>
      <c r="BD1294" s="1144"/>
      <c r="BE1294" s="1144"/>
      <c r="BF1294" s="1144"/>
      <c r="BG1294" s="1144"/>
      <c r="BH1294" s="1144"/>
      <c r="BI1294" s="1144"/>
      <c r="BJ1294" s="1144"/>
      <c r="BK1294" s="1144"/>
      <c r="BL1294" s="1144"/>
      <c r="BM1294" s="1144"/>
      <c r="BN1294" s="1144"/>
      <c r="BO1294" s="1144"/>
      <c r="BP1294" s="1144"/>
      <c r="BQ1294" s="1144"/>
      <c r="BR1294" s="1144"/>
      <c r="BS1294" s="1144"/>
      <c r="BT1294" s="1144"/>
    </row>
    <row r="1295" spans="1:72" s="450" customFormat="1" ht="16.350000000000001" customHeight="1" outlineLevel="2">
      <c r="A1295" s="1105"/>
      <c r="B1295" s="1133" t="s">
        <v>53</v>
      </c>
      <c r="C1295" s="1130"/>
      <c r="D1295" s="1130">
        <v>2130000</v>
      </c>
      <c r="E1295" s="1130">
        <v>24847000</v>
      </c>
      <c r="F1295" s="1130">
        <v>525000</v>
      </c>
      <c r="G1295" s="1130">
        <v>738000</v>
      </c>
      <c r="H1295" s="1130">
        <v>1196000</v>
      </c>
      <c r="I1295" s="1130">
        <v>1544000</v>
      </c>
      <c r="J1295" s="1130">
        <v>17926000</v>
      </c>
      <c r="K1295" s="1130">
        <v>-21000</v>
      </c>
      <c r="L1295" s="1134"/>
      <c r="M1295" s="1134"/>
      <c r="N1295" s="1134"/>
      <c r="O1295" s="1134"/>
      <c r="P1295" s="1134"/>
      <c r="Q1295" s="1134"/>
      <c r="R1295" s="1110"/>
      <c r="S1295" s="1135"/>
      <c r="T1295" s="1135"/>
      <c r="U1295" s="1135"/>
      <c r="V1295" s="1135"/>
      <c r="W1295" s="1135"/>
      <c r="X1295" s="1135"/>
      <c r="Y1295" s="1135"/>
      <c r="Z1295" s="1135"/>
      <c r="AA1295" s="1135"/>
      <c r="AB1295" s="1135"/>
      <c r="AC1295" s="1135"/>
      <c r="AD1295" s="1135"/>
      <c r="AE1295" s="1135"/>
      <c r="AF1295" s="1135"/>
      <c r="AG1295" s="1135"/>
      <c r="AH1295" s="1135"/>
      <c r="AI1295" s="1135"/>
      <c r="AJ1295" s="1135"/>
      <c r="AK1295" s="1135"/>
      <c r="AL1295" s="1135"/>
      <c r="AM1295" s="1135"/>
      <c r="AN1295" s="1135"/>
      <c r="AO1295" s="1135"/>
      <c r="AP1295" s="1135"/>
      <c r="AQ1295" s="1135"/>
      <c r="AR1295" s="1135"/>
      <c r="AS1295" s="1135"/>
      <c r="AT1295" s="1135"/>
      <c r="AU1295" s="1135"/>
      <c r="AV1295" s="1135"/>
      <c r="AW1295" s="1135"/>
      <c r="AX1295" s="1135"/>
      <c r="AY1295" s="1135"/>
      <c r="AZ1295" s="1135"/>
      <c r="BA1295" s="1135"/>
      <c r="BB1295" s="1135"/>
      <c r="BC1295" s="1135"/>
      <c r="BD1295" s="1135"/>
      <c r="BE1295" s="1135"/>
      <c r="BF1295" s="1135"/>
      <c r="BG1295" s="1135"/>
      <c r="BH1295" s="1135"/>
      <c r="BI1295" s="1135"/>
      <c r="BJ1295" s="1135"/>
      <c r="BK1295" s="1135"/>
      <c r="BL1295" s="1135"/>
      <c r="BM1295" s="1135"/>
      <c r="BN1295" s="1135"/>
      <c r="BO1295" s="1135"/>
      <c r="BP1295" s="1135"/>
      <c r="BQ1295" s="1135"/>
      <c r="BR1295" s="1135"/>
      <c r="BS1295" s="1135"/>
      <c r="BT1295" s="1135"/>
    </row>
    <row r="1296" spans="1:72" s="450" customFormat="1" ht="16.350000000000001" customHeight="1" outlineLevel="2">
      <c r="A1296" s="1105"/>
      <c r="B1296" s="1133" t="s">
        <v>840</v>
      </c>
      <c r="C1296" s="1130"/>
      <c r="D1296" s="1130"/>
      <c r="E1296" s="1130">
        <v>0</v>
      </c>
      <c r="F1296" s="1130">
        <v>0</v>
      </c>
      <c r="G1296" s="1130">
        <v>0</v>
      </c>
      <c r="H1296" s="1130">
        <v>0</v>
      </c>
      <c r="I1296" s="1130">
        <v>0</v>
      </c>
      <c r="J1296" s="1130">
        <v>0</v>
      </c>
      <c r="K1296" s="1130">
        <v>0</v>
      </c>
      <c r="L1296" s="1134"/>
      <c r="M1296" s="1134"/>
      <c r="N1296" s="1134"/>
      <c r="O1296" s="1134"/>
      <c r="P1296" s="1134"/>
      <c r="Q1296" s="1134"/>
      <c r="R1296" s="1110"/>
      <c r="S1296" s="1135"/>
      <c r="T1296" s="1135"/>
      <c r="U1296" s="1135"/>
      <c r="V1296" s="1135"/>
      <c r="W1296" s="1135"/>
      <c r="X1296" s="1135"/>
      <c r="Y1296" s="1135"/>
      <c r="Z1296" s="1135"/>
      <c r="AA1296" s="1135"/>
      <c r="AB1296" s="1135"/>
      <c r="AC1296" s="1135"/>
      <c r="AD1296" s="1135"/>
      <c r="AE1296" s="1135"/>
      <c r="AF1296" s="1135"/>
      <c r="AG1296" s="1135"/>
      <c r="AH1296" s="1135"/>
      <c r="AI1296" s="1135"/>
      <c r="AJ1296" s="1135"/>
      <c r="AK1296" s="1135"/>
      <c r="AL1296" s="1135"/>
      <c r="AM1296" s="1135"/>
      <c r="AN1296" s="1135"/>
      <c r="AO1296" s="1135"/>
      <c r="AP1296" s="1135"/>
      <c r="AQ1296" s="1135"/>
      <c r="AR1296" s="1135"/>
      <c r="AS1296" s="1135"/>
      <c r="AT1296" s="1135"/>
      <c r="AU1296" s="1135"/>
      <c r="AV1296" s="1135"/>
      <c r="AW1296" s="1135"/>
      <c r="AX1296" s="1135"/>
      <c r="AY1296" s="1135"/>
      <c r="AZ1296" s="1135"/>
      <c r="BA1296" s="1135"/>
      <c r="BB1296" s="1135"/>
      <c r="BC1296" s="1135"/>
      <c r="BD1296" s="1135"/>
      <c r="BE1296" s="1135"/>
      <c r="BF1296" s="1135"/>
      <c r="BG1296" s="1135"/>
      <c r="BH1296" s="1135"/>
      <c r="BI1296" s="1135"/>
      <c r="BJ1296" s="1135"/>
      <c r="BK1296" s="1135"/>
      <c r="BL1296" s="1135"/>
      <c r="BM1296" s="1135"/>
      <c r="BN1296" s="1135"/>
      <c r="BO1296" s="1135"/>
      <c r="BP1296" s="1135"/>
      <c r="BQ1296" s="1135"/>
      <c r="BR1296" s="1135"/>
      <c r="BS1296" s="1135"/>
      <c r="BT1296" s="1135"/>
    </row>
    <row r="1297" spans="1:72" s="450" customFormat="1" ht="16.350000000000001" customHeight="1" outlineLevel="2">
      <c r="A1297" s="1105"/>
      <c r="B1297" s="1133" t="s">
        <v>54</v>
      </c>
      <c r="C1297" s="1130"/>
      <c r="D1297" s="1130">
        <v>-115000</v>
      </c>
      <c r="E1297" s="1130">
        <v>-96</v>
      </c>
      <c r="F1297" s="1130">
        <v>-17568000</v>
      </c>
      <c r="G1297" s="1130">
        <v>-617000</v>
      </c>
      <c r="H1297" s="1130">
        <v>-1369000</v>
      </c>
      <c r="I1297" s="1130">
        <v>-1080000</v>
      </c>
      <c r="J1297" s="1130">
        <v>-380000</v>
      </c>
      <c r="K1297" s="1130">
        <v>-190000</v>
      </c>
      <c r="L1297" s="1134"/>
      <c r="M1297" s="1134"/>
      <c r="N1297" s="1134"/>
      <c r="O1297" s="1134"/>
      <c r="P1297" s="1134"/>
      <c r="Q1297" s="1134"/>
      <c r="R1297" s="1110"/>
      <c r="S1297" s="1135"/>
      <c r="T1297" s="1135"/>
      <c r="U1297" s="1135"/>
      <c r="V1297" s="1135"/>
      <c r="W1297" s="1135"/>
      <c r="X1297" s="1135"/>
      <c r="Y1297" s="1135"/>
      <c r="Z1297" s="1135"/>
      <c r="AA1297" s="1135"/>
      <c r="AB1297" s="1135"/>
      <c r="AC1297" s="1135"/>
      <c r="AD1297" s="1135"/>
      <c r="AE1297" s="1135"/>
      <c r="AF1297" s="1135"/>
      <c r="AG1297" s="1135"/>
      <c r="AH1297" s="1135"/>
      <c r="AI1297" s="1135"/>
      <c r="AJ1297" s="1135"/>
      <c r="AK1297" s="1135"/>
      <c r="AL1297" s="1135"/>
      <c r="AM1297" s="1135"/>
      <c r="AN1297" s="1135"/>
      <c r="AO1297" s="1135"/>
      <c r="AP1297" s="1135"/>
      <c r="AQ1297" s="1135"/>
      <c r="AR1297" s="1135"/>
      <c r="AS1297" s="1135"/>
      <c r="AT1297" s="1135"/>
      <c r="AU1297" s="1135"/>
      <c r="AV1297" s="1135"/>
      <c r="AW1297" s="1135"/>
      <c r="AX1297" s="1135"/>
      <c r="AY1297" s="1135"/>
      <c r="AZ1297" s="1135"/>
      <c r="BA1297" s="1135"/>
      <c r="BB1297" s="1135"/>
      <c r="BC1297" s="1135"/>
      <c r="BD1297" s="1135"/>
      <c r="BE1297" s="1135"/>
      <c r="BF1297" s="1135"/>
      <c r="BG1297" s="1135"/>
      <c r="BH1297" s="1135"/>
      <c r="BI1297" s="1135"/>
      <c r="BJ1297" s="1135"/>
      <c r="BK1297" s="1135"/>
      <c r="BL1297" s="1135"/>
      <c r="BM1297" s="1135"/>
      <c r="BN1297" s="1135"/>
      <c r="BO1297" s="1135"/>
      <c r="BP1297" s="1135"/>
      <c r="BQ1297" s="1135"/>
      <c r="BR1297" s="1135"/>
      <c r="BS1297" s="1135"/>
      <c r="BT1297" s="1135"/>
    </row>
    <row r="1298" spans="1:72" s="1141" customFormat="1" ht="16.350000000000001" customHeight="1" outlineLevel="2">
      <c r="A1298" s="1105"/>
      <c r="B1298" s="1137" t="s">
        <v>842</v>
      </c>
      <c r="C1298" s="1138"/>
      <c r="D1298" s="1138">
        <v>31721000</v>
      </c>
      <c r="E1298" s="1138">
        <v>29706000</v>
      </c>
      <c r="F1298" s="1138">
        <v>4955000</v>
      </c>
      <c r="G1298" s="1138">
        <f>G1293+G1295+G1297</f>
        <v>21998000</v>
      </c>
      <c r="H1298" s="1138">
        <f>H1293+H1295+H1297</f>
        <v>21877000</v>
      </c>
      <c r="I1298" s="1138">
        <f>I1293+I1295+I1297</f>
        <v>22050000</v>
      </c>
      <c r="J1298" s="1138">
        <f>J1293+J1295+J1297</f>
        <v>21586000</v>
      </c>
      <c r="K1298" s="1138">
        <f>K1293+K1295+K1297</f>
        <v>3877000</v>
      </c>
      <c r="L1298" s="1139"/>
      <c r="M1298" s="1139"/>
      <c r="N1298" s="1139"/>
      <c r="O1298" s="1139"/>
      <c r="P1298" s="1139"/>
      <c r="Q1298" s="1139"/>
      <c r="R1298" s="1110"/>
      <c r="S1298" s="1140"/>
      <c r="T1298" s="1140"/>
      <c r="U1298" s="1140"/>
      <c r="V1298" s="1140"/>
      <c r="W1298" s="1140"/>
      <c r="X1298" s="1140"/>
      <c r="Y1298" s="1140"/>
      <c r="Z1298" s="1140"/>
      <c r="AA1298" s="1140"/>
      <c r="AB1298" s="1140"/>
      <c r="AC1298" s="1140"/>
      <c r="AD1298" s="1140"/>
      <c r="AE1298" s="1140"/>
      <c r="AF1298" s="1140"/>
      <c r="AG1298" s="1140"/>
      <c r="AH1298" s="1140"/>
      <c r="AI1298" s="1140"/>
      <c r="AJ1298" s="1140"/>
      <c r="AK1298" s="1140"/>
      <c r="AL1298" s="1140"/>
      <c r="AM1298" s="1140"/>
      <c r="AN1298" s="1140"/>
      <c r="AO1298" s="1140"/>
      <c r="AP1298" s="1140"/>
      <c r="AQ1298" s="1140"/>
      <c r="AR1298" s="1140"/>
      <c r="AS1298" s="1140"/>
      <c r="AT1298" s="1140"/>
      <c r="AU1298" s="1140"/>
      <c r="AV1298" s="1140"/>
      <c r="AW1298" s="1140"/>
      <c r="AX1298" s="1140"/>
      <c r="AY1298" s="1140"/>
      <c r="AZ1298" s="1140"/>
      <c r="BA1298" s="1140"/>
      <c r="BB1298" s="1140"/>
      <c r="BC1298" s="1140"/>
      <c r="BD1298" s="1140"/>
      <c r="BE1298" s="1140"/>
      <c r="BF1298" s="1140"/>
      <c r="BG1298" s="1140"/>
      <c r="BH1298" s="1140"/>
      <c r="BI1298" s="1140"/>
      <c r="BJ1298" s="1140"/>
      <c r="BK1298" s="1140"/>
      <c r="BL1298" s="1140"/>
      <c r="BM1298" s="1140"/>
      <c r="BN1298" s="1140"/>
      <c r="BO1298" s="1140"/>
      <c r="BP1298" s="1140"/>
      <c r="BQ1298" s="1140"/>
      <c r="BR1298" s="1140"/>
      <c r="BS1298" s="1140"/>
      <c r="BT1298" s="1140"/>
    </row>
    <row r="1299" spans="1:72" s="1125" customFormat="1" ht="16.350000000000001" customHeight="1" outlineLevel="2">
      <c r="A1299" s="1105"/>
      <c r="B1299" s="1166"/>
      <c r="C1299" s="1122"/>
      <c r="D1299" s="1122"/>
      <c r="E1299" s="1122"/>
      <c r="F1299" s="1122"/>
      <c r="G1299" s="1122"/>
      <c r="H1299" s="1122"/>
      <c r="I1299" s="1122"/>
      <c r="J1299" s="1122"/>
      <c r="K1299" s="1122"/>
      <c r="L1299" s="1123"/>
      <c r="M1299" s="1123"/>
      <c r="N1299" s="1123"/>
      <c r="O1299" s="1123"/>
      <c r="P1299" s="1123"/>
      <c r="Q1299" s="1123"/>
      <c r="R1299" s="1110"/>
      <c r="S1299" s="1124"/>
      <c r="T1299" s="1124"/>
      <c r="U1299" s="1124"/>
      <c r="V1299" s="1124"/>
      <c r="W1299" s="1124"/>
      <c r="X1299" s="1124"/>
      <c r="Y1299" s="1124"/>
      <c r="Z1299" s="1124"/>
      <c r="AA1299" s="1124"/>
      <c r="AB1299" s="1124"/>
      <c r="AC1299" s="1124"/>
      <c r="AD1299" s="1124"/>
      <c r="AE1299" s="1124"/>
      <c r="AF1299" s="1124"/>
      <c r="AG1299" s="1124"/>
      <c r="AH1299" s="1124"/>
      <c r="AI1299" s="1124"/>
      <c r="AJ1299" s="1124"/>
      <c r="AK1299" s="1124"/>
      <c r="AL1299" s="1124"/>
      <c r="AM1299" s="1124"/>
      <c r="AN1299" s="1124"/>
      <c r="AO1299" s="1124"/>
      <c r="AP1299" s="1124"/>
      <c r="AQ1299" s="1124"/>
      <c r="AR1299" s="1124"/>
      <c r="AS1299" s="1124"/>
      <c r="AT1299" s="1124"/>
      <c r="AU1299" s="1124"/>
      <c r="AV1299" s="1124"/>
      <c r="AW1299" s="1124"/>
      <c r="AX1299" s="1124"/>
      <c r="AY1299" s="1124"/>
      <c r="AZ1299" s="1124"/>
      <c r="BA1299" s="1124"/>
      <c r="BB1299" s="1124"/>
      <c r="BC1299" s="1124"/>
      <c r="BD1299" s="1124"/>
      <c r="BE1299" s="1124"/>
      <c r="BF1299" s="1124"/>
      <c r="BG1299" s="1124"/>
      <c r="BH1299" s="1124"/>
      <c r="BI1299" s="1124"/>
      <c r="BJ1299" s="1124"/>
      <c r="BK1299" s="1124"/>
      <c r="BL1299" s="1124"/>
      <c r="BM1299" s="1124"/>
      <c r="BN1299" s="1124"/>
      <c r="BO1299" s="1124"/>
      <c r="BP1299" s="1124"/>
      <c r="BQ1299" s="1124"/>
      <c r="BR1299" s="1124"/>
      <c r="BS1299" s="1124"/>
      <c r="BT1299" s="1124"/>
    </row>
    <row r="1300" spans="1:72" s="1145" customFormat="1" ht="16.350000000000001" customHeight="1" outlineLevel="2">
      <c r="A1300" s="1105"/>
      <c r="B1300" s="1142" t="s">
        <v>854</v>
      </c>
      <c r="C1300" s="1130"/>
      <c r="D1300" s="1130">
        <v>-2963000</v>
      </c>
      <c r="E1300" s="1130">
        <v>-1681000</v>
      </c>
      <c r="F1300" s="1130">
        <v>-17112000</v>
      </c>
      <c r="G1300" s="1130">
        <f>H1303</f>
        <v>-13072000</v>
      </c>
      <c r="H1300" s="1130">
        <f>I1303</f>
        <v>-9745000</v>
      </c>
      <c r="I1300" s="1130">
        <f>J1303</f>
        <v>-6231000</v>
      </c>
      <c r="J1300" s="1130">
        <v>-2704000</v>
      </c>
      <c r="K1300" s="1130">
        <v>-2447000</v>
      </c>
      <c r="L1300" s="1143"/>
      <c r="M1300" s="1143"/>
      <c r="N1300" s="1143"/>
      <c r="O1300" s="1143"/>
      <c r="P1300" s="1143"/>
      <c r="Q1300" s="1143"/>
      <c r="R1300" s="1110"/>
      <c r="S1300" s="1144"/>
      <c r="T1300" s="1144"/>
      <c r="U1300" s="1144"/>
      <c r="V1300" s="1144"/>
      <c r="W1300" s="1144"/>
      <c r="X1300" s="1144"/>
      <c r="Y1300" s="1144"/>
      <c r="Z1300" s="1144"/>
      <c r="AA1300" s="1144"/>
      <c r="AB1300" s="1144"/>
      <c r="AC1300" s="1144"/>
      <c r="AD1300" s="1144"/>
      <c r="AE1300" s="1144"/>
      <c r="AF1300" s="1144"/>
      <c r="AG1300" s="1144"/>
      <c r="AH1300" s="1144"/>
      <c r="AI1300" s="1144"/>
      <c r="AJ1300" s="1144"/>
      <c r="AK1300" s="1144"/>
      <c r="AL1300" s="1144"/>
      <c r="AM1300" s="1144"/>
      <c r="AN1300" s="1144"/>
      <c r="AO1300" s="1144"/>
      <c r="AP1300" s="1144"/>
      <c r="AQ1300" s="1144"/>
      <c r="AR1300" s="1144"/>
      <c r="AS1300" s="1144"/>
      <c r="AT1300" s="1144"/>
      <c r="AU1300" s="1144"/>
      <c r="AV1300" s="1144"/>
      <c r="AW1300" s="1144"/>
      <c r="AX1300" s="1144"/>
      <c r="AY1300" s="1144"/>
      <c r="AZ1300" s="1144"/>
      <c r="BA1300" s="1144"/>
      <c r="BB1300" s="1144"/>
      <c r="BC1300" s="1144"/>
      <c r="BD1300" s="1144"/>
      <c r="BE1300" s="1144"/>
      <c r="BF1300" s="1144"/>
      <c r="BG1300" s="1144"/>
      <c r="BH1300" s="1144"/>
      <c r="BI1300" s="1144"/>
      <c r="BJ1300" s="1144"/>
      <c r="BK1300" s="1144"/>
      <c r="BL1300" s="1144"/>
      <c r="BM1300" s="1144"/>
      <c r="BN1300" s="1144"/>
      <c r="BO1300" s="1144"/>
      <c r="BP1300" s="1144"/>
      <c r="BQ1300" s="1144"/>
      <c r="BR1300" s="1144"/>
      <c r="BS1300" s="1144"/>
      <c r="BT1300" s="1144"/>
    </row>
    <row r="1301" spans="1:72" s="450" customFormat="1" ht="16.350000000000001" customHeight="1" outlineLevel="2">
      <c r="A1301" s="1105"/>
      <c r="B1301" s="1133" t="s">
        <v>94</v>
      </c>
      <c r="C1301" s="1130"/>
      <c r="D1301" s="1130">
        <v>-3090000</v>
      </c>
      <c r="E1301" s="1130">
        <v>-1378000</v>
      </c>
      <c r="F1301" s="1130">
        <v>-2135000</v>
      </c>
      <c r="G1301" s="1130">
        <v>-4657000</v>
      </c>
      <c r="H1301" s="1130">
        <v>-4697000</v>
      </c>
      <c r="I1301" s="1130">
        <v>-4556000</v>
      </c>
      <c r="J1301" s="1130">
        <v>-3907000</v>
      </c>
      <c r="K1301" s="1130">
        <v>-437000</v>
      </c>
      <c r="L1301" s="1134"/>
      <c r="M1301" s="1134"/>
      <c r="N1301" s="1134"/>
      <c r="O1301" s="1134"/>
      <c r="P1301" s="1134"/>
      <c r="Q1301" s="1134"/>
      <c r="R1301" s="1110"/>
      <c r="S1301" s="1135"/>
      <c r="T1301" s="1135"/>
      <c r="U1301" s="1135"/>
      <c r="V1301" s="1135"/>
      <c r="W1301" s="1135"/>
      <c r="X1301" s="1135"/>
      <c r="Y1301" s="1135"/>
      <c r="Z1301" s="1135"/>
      <c r="AA1301" s="1135"/>
      <c r="AB1301" s="1135"/>
      <c r="AC1301" s="1135"/>
      <c r="AD1301" s="1135"/>
      <c r="AE1301" s="1135"/>
      <c r="AF1301" s="1135"/>
      <c r="AG1301" s="1135"/>
      <c r="AH1301" s="1135"/>
      <c r="AI1301" s="1135"/>
      <c r="AJ1301" s="1135"/>
      <c r="AK1301" s="1135"/>
      <c r="AL1301" s="1135"/>
      <c r="AM1301" s="1135"/>
      <c r="AN1301" s="1135"/>
      <c r="AO1301" s="1135"/>
      <c r="AP1301" s="1135"/>
      <c r="AQ1301" s="1135"/>
      <c r="AR1301" s="1135"/>
      <c r="AS1301" s="1135"/>
      <c r="AT1301" s="1135"/>
      <c r="AU1301" s="1135"/>
      <c r="AV1301" s="1135"/>
      <c r="AW1301" s="1135"/>
      <c r="AX1301" s="1135"/>
      <c r="AY1301" s="1135"/>
      <c r="AZ1301" s="1135"/>
      <c r="BA1301" s="1135"/>
      <c r="BB1301" s="1135"/>
      <c r="BC1301" s="1135"/>
      <c r="BD1301" s="1135"/>
      <c r="BE1301" s="1135"/>
      <c r="BF1301" s="1135"/>
      <c r="BG1301" s="1135"/>
      <c r="BH1301" s="1135"/>
      <c r="BI1301" s="1135"/>
      <c r="BJ1301" s="1135"/>
      <c r="BK1301" s="1135"/>
      <c r="BL1301" s="1135"/>
      <c r="BM1301" s="1135"/>
      <c r="BN1301" s="1135"/>
      <c r="BO1301" s="1135"/>
      <c r="BP1301" s="1135"/>
      <c r="BQ1301" s="1135"/>
      <c r="BR1301" s="1135"/>
      <c r="BS1301" s="1135"/>
      <c r="BT1301" s="1135"/>
    </row>
    <row r="1302" spans="1:72" s="450" customFormat="1" ht="16.350000000000001" customHeight="1" outlineLevel="2">
      <c r="A1302" s="1105"/>
      <c r="B1302" s="1133" t="s">
        <v>54</v>
      </c>
      <c r="C1302" s="1130"/>
      <c r="D1302" s="1130">
        <v>115000</v>
      </c>
      <c r="E1302" s="1130">
        <v>96</v>
      </c>
      <c r="F1302" s="1130">
        <v>17566000</v>
      </c>
      <c r="G1302" s="1130">
        <v>617000</v>
      </c>
      <c r="H1302" s="1130">
        <v>1370000</v>
      </c>
      <c r="I1302" s="1130">
        <v>1042000</v>
      </c>
      <c r="J1302" s="1130">
        <v>380000</v>
      </c>
      <c r="K1302" s="1130">
        <v>183000</v>
      </c>
      <c r="L1302" s="1134"/>
      <c r="M1302" s="1134"/>
      <c r="N1302" s="1134"/>
      <c r="O1302" s="1134"/>
      <c r="P1302" s="1134"/>
      <c r="Q1302" s="1134"/>
      <c r="R1302" s="1110"/>
      <c r="S1302" s="1135"/>
      <c r="T1302" s="1135"/>
      <c r="U1302" s="1135"/>
      <c r="V1302" s="1135"/>
      <c r="W1302" s="1135"/>
      <c r="X1302" s="1135"/>
      <c r="Y1302" s="1135"/>
      <c r="Z1302" s="1135"/>
      <c r="AA1302" s="1135"/>
      <c r="AB1302" s="1135"/>
      <c r="AC1302" s="1135"/>
      <c r="AD1302" s="1135"/>
      <c r="AE1302" s="1135"/>
      <c r="AF1302" s="1135"/>
      <c r="AG1302" s="1135"/>
      <c r="AH1302" s="1135"/>
      <c r="AI1302" s="1135"/>
      <c r="AJ1302" s="1135"/>
      <c r="AK1302" s="1135"/>
      <c r="AL1302" s="1135"/>
      <c r="AM1302" s="1135"/>
      <c r="AN1302" s="1135"/>
      <c r="AO1302" s="1135"/>
      <c r="AP1302" s="1135"/>
      <c r="AQ1302" s="1135"/>
      <c r="AR1302" s="1135"/>
      <c r="AS1302" s="1135"/>
      <c r="AT1302" s="1135"/>
      <c r="AU1302" s="1135"/>
      <c r="AV1302" s="1135"/>
      <c r="AW1302" s="1135"/>
      <c r="AX1302" s="1135"/>
      <c r="AY1302" s="1135"/>
      <c r="AZ1302" s="1135"/>
      <c r="BA1302" s="1135"/>
      <c r="BB1302" s="1135"/>
      <c r="BC1302" s="1135"/>
      <c r="BD1302" s="1135"/>
      <c r="BE1302" s="1135"/>
      <c r="BF1302" s="1135"/>
      <c r="BG1302" s="1135"/>
      <c r="BH1302" s="1135"/>
      <c r="BI1302" s="1135"/>
      <c r="BJ1302" s="1135"/>
      <c r="BK1302" s="1135"/>
      <c r="BL1302" s="1135"/>
      <c r="BM1302" s="1135"/>
      <c r="BN1302" s="1135"/>
      <c r="BO1302" s="1135"/>
      <c r="BP1302" s="1135"/>
      <c r="BQ1302" s="1135"/>
      <c r="BR1302" s="1135"/>
      <c r="BS1302" s="1135"/>
      <c r="BT1302" s="1135"/>
    </row>
    <row r="1303" spans="1:72" s="1141" customFormat="1" ht="16.350000000000001" customHeight="1" outlineLevel="2">
      <c r="A1303" s="1105"/>
      <c r="B1303" s="1137" t="s">
        <v>844</v>
      </c>
      <c r="C1303" s="1138"/>
      <c r="D1303" s="1138">
        <v>-5938000</v>
      </c>
      <c r="E1303" s="1138">
        <v>-2963000</v>
      </c>
      <c r="F1303" s="1138">
        <v>-1681000</v>
      </c>
      <c r="G1303" s="1138">
        <f>G1300+G1301+G1302</f>
        <v>-17112000</v>
      </c>
      <c r="H1303" s="1138">
        <f>H1300+H1301+H1302</f>
        <v>-13072000</v>
      </c>
      <c r="I1303" s="1138">
        <f>I1300+I1301+I1302</f>
        <v>-9745000</v>
      </c>
      <c r="J1303" s="1138">
        <f>J1300+J1301+J1302</f>
        <v>-6231000</v>
      </c>
      <c r="K1303" s="1138">
        <f>K1300+K1301+K1302</f>
        <v>-2701000</v>
      </c>
      <c r="L1303" s="1139"/>
      <c r="M1303" s="1139"/>
      <c r="N1303" s="1139"/>
      <c r="O1303" s="1139"/>
      <c r="P1303" s="1139"/>
      <c r="Q1303" s="1139"/>
      <c r="R1303" s="1110"/>
      <c r="S1303" s="1140"/>
      <c r="T1303" s="1140"/>
      <c r="U1303" s="1140"/>
      <c r="V1303" s="1140"/>
      <c r="W1303" s="1140"/>
      <c r="X1303" s="1140"/>
      <c r="Y1303" s="1140"/>
      <c r="Z1303" s="1140"/>
      <c r="AA1303" s="1140"/>
      <c r="AB1303" s="1140"/>
      <c r="AC1303" s="1140"/>
      <c r="AD1303" s="1140"/>
      <c r="AE1303" s="1140"/>
      <c r="AF1303" s="1140"/>
      <c r="AG1303" s="1140"/>
      <c r="AH1303" s="1140"/>
      <c r="AI1303" s="1140"/>
      <c r="AJ1303" s="1140"/>
      <c r="AK1303" s="1140"/>
      <c r="AL1303" s="1140"/>
      <c r="AM1303" s="1140"/>
      <c r="AN1303" s="1140"/>
      <c r="AO1303" s="1140"/>
      <c r="AP1303" s="1140"/>
      <c r="AQ1303" s="1140"/>
      <c r="AR1303" s="1140"/>
      <c r="AS1303" s="1140"/>
      <c r="AT1303" s="1140"/>
      <c r="AU1303" s="1140"/>
      <c r="AV1303" s="1140"/>
      <c r="AW1303" s="1140"/>
      <c r="AX1303" s="1140"/>
      <c r="AY1303" s="1140"/>
      <c r="AZ1303" s="1140"/>
      <c r="BA1303" s="1140"/>
      <c r="BB1303" s="1140"/>
      <c r="BC1303" s="1140"/>
      <c r="BD1303" s="1140"/>
      <c r="BE1303" s="1140"/>
      <c r="BF1303" s="1140"/>
      <c r="BG1303" s="1140"/>
      <c r="BH1303" s="1140"/>
      <c r="BI1303" s="1140"/>
      <c r="BJ1303" s="1140"/>
      <c r="BK1303" s="1140"/>
      <c r="BL1303" s="1140"/>
      <c r="BM1303" s="1140"/>
      <c r="BN1303" s="1140"/>
      <c r="BO1303" s="1140"/>
      <c r="BP1303" s="1140"/>
      <c r="BQ1303" s="1140"/>
      <c r="BR1303" s="1140"/>
      <c r="BS1303" s="1140"/>
      <c r="BT1303" s="1140"/>
    </row>
    <row r="1304" spans="1:72" s="1145" customFormat="1" ht="16.350000000000001" customHeight="1" outlineLevel="2">
      <c r="A1304" s="1105"/>
      <c r="B1304" s="1142"/>
      <c r="C1304" s="1130"/>
      <c r="D1304" s="1130"/>
      <c r="E1304" s="1130"/>
      <c r="F1304" s="1130"/>
      <c r="G1304" s="1130"/>
      <c r="H1304" s="1130"/>
      <c r="I1304" s="1130"/>
      <c r="J1304" s="1130"/>
      <c r="K1304" s="1130"/>
      <c r="L1304" s="1143"/>
      <c r="M1304" s="1143"/>
      <c r="N1304" s="1143"/>
      <c r="O1304" s="1143"/>
      <c r="P1304" s="1143"/>
      <c r="Q1304" s="1143"/>
      <c r="R1304" s="1110"/>
      <c r="S1304" s="1144"/>
      <c r="T1304" s="1144"/>
      <c r="U1304" s="1144"/>
      <c r="V1304" s="1144"/>
      <c r="W1304" s="1144"/>
      <c r="X1304" s="1144"/>
      <c r="Y1304" s="1144"/>
      <c r="Z1304" s="1144"/>
      <c r="AA1304" s="1144"/>
      <c r="AB1304" s="1144"/>
      <c r="AC1304" s="1144"/>
      <c r="AD1304" s="1144"/>
      <c r="AE1304" s="1144"/>
      <c r="AF1304" s="1144"/>
      <c r="AG1304" s="1144"/>
      <c r="AH1304" s="1144"/>
      <c r="AI1304" s="1144"/>
      <c r="AJ1304" s="1144"/>
      <c r="AK1304" s="1144"/>
      <c r="AL1304" s="1144"/>
      <c r="AM1304" s="1144"/>
      <c r="AN1304" s="1144"/>
      <c r="AO1304" s="1144"/>
      <c r="AP1304" s="1144"/>
      <c r="AQ1304" s="1144"/>
      <c r="AR1304" s="1144"/>
      <c r="AS1304" s="1144"/>
      <c r="AT1304" s="1144"/>
      <c r="AU1304" s="1144"/>
      <c r="AV1304" s="1144"/>
      <c r="AW1304" s="1144"/>
      <c r="AX1304" s="1144"/>
      <c r="AY1304" s="1144"/>
      <c r="AZ1304" s="1144"/>
      <c r="BA1304" s="1144"/>
      <c r="BB1304" s="1144"/>
      <c r="BC1304" s="1144"/>
      <c r="BD1304" s="1144"/>
      <c r="BE1304" s="1144"/>
      <c r="BF1304" s="1144"/>
      <c r="BG1304" s="1144"/>
      <c r="BH1304" s="1144"/>
      <c r="BI1304" s="1144"/>
      <c r="BJ1304" s="1144"/>
      <c r="BK1304" s="1144"/>
      <c r="BL1304" s="1144"/>
      <c r="BM1304" s="1144"/>
      <c r="BN1304" s="1144"/>
      <c r="BO1304" s="1144"/>
      <c r="BP1304" s="1144"/>
      <c r="BQ1304" s="1144"/>
      <c r="BR1304" s="1144"/>
      <c r="BS1304" s="1144"/>
      <c r="BT1304" s="1144"/>
    </row>
    <row r="1305" spans="1:72" s="1145" customFormat="1" ht="16.350000000000001" customHeight="1" outlineLevel="2">
      <c r="A1305" s="1105"/>
      <c r="B1305" s="1142" t="s">
        <v>845</v>
      </c>
      <c r="C1305" s="1130"/>
      <c r="D1305" s="1130">
        <v>26743000</v>
      </c>
      <c r="E1305" s="1130">
        <v>3274000</v>
      </c>
      <c r="F1305" s="1130">
        <v>4886000</v>
      </c>
      <c r="G1305" s="1130">
        <f>G1293+G1300</f>
        <v>8805000</v>
      </c>
      <c r="H1305" s="1130">
        <f>H1293+H1300</f>
        <v>12305000</v>
      </c>
      <c r="I1305" s="1130">
        <f>I1293+I1300</f>
        <v>15355000</v>
      </c>
      <c r="J1305" s="1130">
        <f>J1293+J1300</f>
        <v>1336000</v>
      </c>
      <c r="K1305" s="1130">
        <f>K1293+K1300</f>
        <v>1641000</v>
      </c>
      <c r="L1305" s="1143"/>
      <c r="M1305" s="1143"/>
      <c r="N1305" s="1143"/>
      <c r="O1305" s="1143"/>
      <c r="P1305" s="1143"/>
      <c r="Q1305" s="1143"/>
      <c r="R1305" s="1110"/>
      <c r="S1305" s="1144"/>
      <c r="T1305" s="1144"/>
      <c r="U1305" s="1144"/>
      <c r="V1305" s="1144"/>
      <c r="W1305" s="1144"/>
      <c r="X1305" s="1144"/>
      <c r="Y1305" s="1144"/>
      <c r="Z1305" s="1144"/>
      <c r="AA1305" s="1144"/>
      <c r="AB1305" s="1144"/>
      <c r="AC1305" s="1144"/>
      <c r="AD1305" s="1144"/>
      <c r="AE1305" s="1144"/>
      <c r="AF1305" s="1144"/>
      <c r="AG1305" s="1144"/>
      <c r="AH1305" s="1144"/>
      <c r="AI1305" s="1144"/>
      <c r="AJ1305" s="1144"/>
      <c r="AK1305" s="1144"/>
      <c r="AL1305" s="1144"/>
      <c r="AM1305" s="1144"/>
      <c r="AN1305" s="1144"/>
      <c r="AO1305" s="1144"/>
      <c r="AP1305" s="1144"/>
      <c r="AQ1305" s="1144"/>
      <c r="AR1305" s="1144"/>
      <c r="AS1305" s="1144"/>
      <c r="AT1305" s="1144"/>
      <c r="AU1305" s="1144"/>
      <c r="AV1305" s="1144"/>
      <c r="AW1305" s="1144"/>
      <c r="AX1305" s="1144"/>
      <c r="AY1305" s="1144"/>
      <c r="AZ1305" s="1144"/>
      <c r="BA1305" s="1144"/>
      <c r="BB1305" s="1144"/>
      <c r="BC1305" s="1144"/>
      <c r="BD1305" s="1144"/>
      <c r="BE1305" s="1144"/>
      <c r="BF1305" s="1144"/>
      <c r="BG1305" s="1144"/>
      <c r="BH1305" s="1144"/>
      <c r="BI1305" s="1144"/>
      <c r="BJ1305" s="1144"/>
      <c r="BK1305" s="1144"/>
      <c r="BL1305" s="1144"/>
      <c r="BM1305" s="1144"/>
      <c r="BN1305" s="1144"/>
      <c r="BO1305" s="1144"/>
      <c r="BP1305" s="1144"/>
      <c r="BQ1305" s="1144"/>
      <c r="BR1305" s="1144"/>
      <c r="BS1305" s="1144"/>
      <c r="BT1305" s="1144"/>
    </row>
    <row r="1306" spans="1:72" s="1145" customFormat="1" ht="16.350000000000001" customHeight="1" outlineLevel="2">
      <c r="A1306" s="1105"/>
      <c r="B1306" s="1146" t="s">
        <v>846</v>
      </c>
      <c r="C1306" s="1130"/>
      <c r="D1306" s="1130">
        <f>D1307-D1305</f>
        <v>-960000</v>
      </c>
      <c r="E1306" s="1130">
        <f>E1307-E1305</f>
        <v>23469000</v>
      </c>
      <c r="F1306" s="1130">
        <f t="shared" ref="F1306:K1306" si="161">F1307-F1305</f>
        <v>-1612000</v>
      </c>
      <c r="G1306" s="1130">
        <f t="shared" si="161"/>
        <v>-3919000</v>
      </c>
      <c r="H1306" s="1130">
        <f t="shared" si="161"/>
        <v>-3500000</v>
      </c>
      <c r="I1306" s="1130">
        <f t="shared" si="161"/>
        <v>-3050000</v>
      </c>
      <c r="J1306" s="1130">
        <f t="shared" si="161"/>
        <v>14019000</v>
      </c>
      <c r="K1306" s="1130">
        <f t="shared" si="161"/>
        <v>-465000</v>
      </c>
      <c r="L1306" s="1143"/>
      <c r="M1306" s="1143"/>
      <c r="N1306" s="1143"/>
      <c r="O1306" s="1143"/>
      <c r="P1306" s="1143"/>
      <c r="Q1306" s="1143"/>
      <c r="R1306" s="1110"/>
      <c r="S1306" s="1144"/>
      <c r="T1306" s="1144"/>
      <c r="U1306" s="1144"/>
      <c r="V1306" s="1144"/>
      <c r="W1306" s="1144"/>
      <c r="X1306" s="1144"/>
      <c r="Y1306" s="1144"/>
      <c r="Z1306" s="1144"/>
      <c r="AA1306" s="1144"/>
      <c r="AB1306" s="1144"/>
      <c r="AC1306" s="1144"/>
      <c r="AD1306" s="1144"/>
      <c r="AE1306" s="1144"/>
      <c r="AF1306" s="1144"/>
      <c r="AG1306" s="1144"/>
      <c r="AH1306" s="1144"/>
      <c r="AI1306" s="1144"/>
      <c r="AJ1306" s="1144"/>
      <c r="AK1306" s="1144"/>
      <c r="AL1306" s="1144"/>
      <c r="AM1306" s="1144"/>
      <c r="AN1306" s="1144"/>
      <c r="AO1306" s="1144"/>
      <c r="AP1306" s="1144"/>
      <c r="AQ1306" s="1144"/>
      <c r="AR1306" s="1144"/>
      <c r="AS1306" s="1144"/>
      <c r="AT1306" s="1144"/>
      <c r="AU1306" s="1144"/>
      <c r="AV1306" s="1144"/>
      <c r="AW1306" s="1144"/>
      <c r="AX1306" s="1144"/>
      <c r="AY1306" s="1144"/>
      <c r="AZ1306" s="1144"/>
      <c r="BA1306" s="1144"/>
      <c r="BB1306" s="1144"/>
      <c r="BC1306" s="1144"/>
      <c r="BD1306" s="1144"/>
      <c r="BE1306" s="1144"/>
      <c r="BF1306" s="1144"/>
      <c r="BG1306" s="1144"/>
      <c r="BH1306" s="1144"/>
      <c r="BI1306" s="1144"/>
      <c r="BJ1306" s="1144"/>
      <c r="BK1306" s="1144"/>
      <c r="BL1306" s="1144"/>
      <c r="BM1306" s="1144"/>
      <c r="BN1306" s="1144"/>
      <c r="BO1306" s="1144"/>
      <c r="BP1306" s="1144"/>
      <c r="BQ1306" s="1144"/>
      <c r="BR1306" s="1144"/>
      <c r="BS1306" s="1144"/>
      <c r="BT1306" s="1144"/>
    </row>
    <row r="1307" spans="1:72" s="1141" customFormat="1" ht="16.350000000000001" customHeight="1" outlineLevel="2">
      <c r="A1307" s="1105"/>
      <c r="B1307" s="1137" t="s">
        <v>847</v>
      </c>
      <c r="C1307" s="1138"/>
      <c r="D1307" s="1138">
        <v>25783000</v>
      </c>
      <c r="E1307" s="1138">
        <v>26743000</v>
      </c>
      <c r="F1307" s="1138">
        <v>3274000</v>
      </c>
      <c r="G1307" s="1138">
        <f>G1298+G1303</f>
        <v>4886000</v>
      </c>
      <c r="H1307" s="1138">
        <f>H1298+H1303</f>
        <v>8805000</v>
      </c>
      <c r="I1307" s="1138">
        <f>I1298+I1303</f>
        <v>12305000</v>
      </c>
      <c r="J1307" s="1138">
        <f>J1298+J1303</f>
        <v>15355000</v>
      </c>
      <c r="K1307" s="1138">
        <f>K1298+K1303</f>
        <v>1176000</v>
      </c>
      <c r="L1307" s="1139"/>
      <c r="M1307" s="1139"/>
      <c r="N1307" s="1139"/>
      <c r="O1307" s="1139"/>
      <c r="P1307" s="1139"/>
      <c r="Q1307" s="1139"/>
      <c r="R1307" s="1110"/>
      <c r="S1307" s="1140"/>
      <c r="T1307" s="1140"/>
      <c r="U1307" s="1140"/>
      <c r="V1307" s="1140"/>
      <c r="W1307" s="1140"/>
      <c r="X1307" s="1140"/>
      <c r="Y1307" s="1140"/>
      <c r="Z1307" s="1140"/>
      <c r="AA1307" s="1140"/>
      <c r="AB1307" s="1140"/>
      <c r="AC1307" s="1140"/>
      <c r="AD1307" s="1140"/>
      <c r="AE1307" s="1140"/>
      <c r="AF1307" s="1140"/>
      <c r="AG1307" s="1140"/>
      <c r="AH1307" s="1140"/>
      <c r="AI1307" s="1140"/>
      <c r="AJ1307" s="1140"/>
      <c r="AK1307" s="1140"/>
      <c r="AL1307" s="1140"/>
      <c r="AM1307" s="1140"/>
      <c r="AN1307" s="1140"/>
      <c r="AO1307" s="1140"/>
      <c r="AP1307" s="1140"/>
      <c r="AQ1307" s="1140"/>
      <c r="AR1307" s="1140"/>
      <c r="AS1307" s="1140"/>
      <c r="AT1307" s="1140"/>
      <c r="AU1307" s="1140"/>
      <c r="AV1307" s="1140"/>
      <c r="AW1307" s="1140"/>
      <c r="AX1307" s="1140"/>
      <c r="AY1307" s="1140"/>
      <c r="AZ1307" s="1140"/>
      <c r="BA1307" s="1140"/>
      <c r="BB1307" s="1140"/>
      <c r="BC1307" s="1140"/>
      <c r="BD1307" s="1140"/>
      <c r="BE1307" s="1140"/>
      <c r="BF1307" s="1140"/>
      <c r="BG1307" s="1140"/>
      <c r="BH1307" s="1140"/>
      <c r="BI1307" s="1140"/>
      <c r="BJ1307" s="1140"/>
      <c r="BK1307" s="1140"/>
      <c r="BL1307" s="1140"/>
      <c r="BM1307" s="1140"/>
      <c r="BN1307" s="1140"/>
      <c r="BO1307" s="1140"/>
      <c r="BP1307" s="1140"/>
      <c r="BQ1307" s="1140"/>
      <c r="BR1307" s="1140"/>
      <c r="BS1307" s="1140"/>
      <c r="BT1307" s="1140"/>
    </row>
    <row r="1308" spans="1:72" ht="16.350000000000001" customHeight="1" outlineLevel="2">
      <c r="A1308" s="1105"/>
      <c r="B1308" s="1167"/>
      <c r="C1308" s="1168"/>
      <c r="D1308" s="1168"/>
      <c r="E1308" s="1168"/>
      <c r="F1308" s="1168"/>
      <c r="G1308" s="1168"/>
      <c r="H1308" s="1169"/>
      <c r="I1308" s="1169"/>
      <c r="J1308" s="1169"/>
      <c r="K1308" s="1169"/>
      <c r="L1308" s="1170"/>
      <c r="M1308" s="1170"/>
      <c r="N1308" s="1170"/>
      <c r="O1308" s="1170"/>
      <c r="P1308" s="1171"/>
      <c r="Q1308" s="1171"/>
      <c r="R1308" s="1110"/>
    </row>
    <row r="1309" spans="1:72" s="1125" customFormat="1" ht="16.350000000000001" customHeight="1" outlineLevel="1">
      <c r="A1309" s="1105"/>
      <c r="B1309" s="1126" t="s">
        <v>859</v>
      </c>
      <c r="C1309" s="1122"/>
      <c r="D1309" s="1122">
        <v>122017000</v>
      </c>
      <c r="E1309" s="1122">
        <v>113238000</v>
      </c>
      <c r="F1309" s="1122">
        <v>41296000</v>
      </c>
      <c r="G1309" s="1122">
        <f>G1325</f>
        <v>52433000</v>
      </c>
      <c r="H1309" s="1127">
        <f>H1325</f>
        <v>53646000</v>
      </c>
      <c r="I1309" s="1127">
        <f>I1325</f>
        <v>30892000</v>
      </c>
      <c r="J1309" s="1127">
        <f>J1325</f>
        <v>17522000</v>
      </c>
      <c r="K1309" s="1127">
        <f>K1325</f>
        <v>5752000</v>
      </c>
      <c r="L1309" s="1128"/>
      <c r="M1309" s="1128"/>
      <c r="N1309" s="1128"/>
      <c r="O1309" s="1128"/>
      <c r="P1309" s="1128"/>
      <c r="Q1309" s="1128"/>
      <c r="R1309" s="1110"/>
      <c r="S1309" s="1124"/>
      <c r="T1309" s="1124"/>
      <c r="U1309" s="1124"/>
      <c r="V1309" s="1124"/>
      <c r="W1309" s="1124"/>
      <c r="X1309" s="1124"/>
      <c r="Y1309" s="1124"/>
      <c r="Z1309" s="1124"/>
      <c r="AA1309" s="1124"/>
      <c r="AB1309" s="1124"/>
      <c r="AC1309" s="1124"/>
      <c r="AD1309" s="1124"/>
      <c r="AE1309" s="1124"/>
      <c r="AF1309" s="1124"/>
      <c r="AG1309" s="1124"/>
      <c r="AH1309" s="1124"/>
      <c r="AI1309" s="1124"/>
      <c r="AJ1309" s="1124"/>
      <c r="AK1309" s="1124"/>
      <c r="AL1309" s="1124"/>
      <c r="AM1309" s="1124"/>
      <c r="AN1309" s="1124"/>
      <c r="AO1309" s="1124"/>
      <c r="AP1309" s="1124"/>
      <c r="AQ1309" s="1124"/>
      <c r="AR1309" s="1124"/>
      <c r="AS1309" s="1124"/>
      <c r="AT1309" s="1124"/>
      <c r="AU1309" s="1124"/>
      <c r="AV1309" s="1124"/>
      <c r="AW1309" s="1124"/>
      <c r="AX1309" s="1124"/>
      <c r="AY1309" s="1124"/>
      <c r="AZ1309" s="1124"/>
      <c r="BA1309" s="1124"/>
      <c r="BB1309" s="1124"/>
      <c r="BC1309" s="1124"/>
      <c r="BD1309" s="1124"/>
      <c r="BE1309" s="1124"/>
      <c r="BF1309" s="1124"/>
      <c r="BG1309" s="1124"/>
      <c r="BH1309" s="1124"/>
      <c r="BI1309" s="1124"/>
      <c r="BJ1309" s="1124"/>
      <c r="BK1309" s="1124"/>
      <c r="BL1309" s="1124"/>
      <c r="BM1309" s="1124"/>
      <c r="BN1309" s="1124"/>
      <c r="BO1309" s="1124"/>
      <c r="BP1309" s="1124"/>
      <c r="BQ1309" s="1124"/>
      <c r="BR1309" s="1124"/>
      <c r="BS1309" s="1124"/>
      <c r="BT1309" s="1124"/>
    </row>
    <row r="1310" spans="1:72" s="1125" customFormat="1" ht="16.350000000000001" customHeight="1" outlineLevel="3">
      <c r="A1310" s="1105"/>
      <c r="B1310" s="1153"/>
      <c r="C1310" s="1122"/>
      <c r="D1310" s="1122"/>
      <c r="E1310" s="1122"/>
      <c r="F1310" s="1122"/>
      <c r="G1310" s="1122"/>
      <c r="H1310" s="1127"/>
      <c r="I1310" s="1127"/>
      <c r="J1310" s="1127"/>
      <c r="K1310" s="1127"/>
      <c r="L1310" s="1128"/>
      <c r="M1310" s="1128"/>
      <c r="N1310" s="1128"/>
      <c r="O1310" s="1128"/>
      <c r="P1310" s="1128"/>
      <c r="Q1310" s="1128"/>
      <c r="R1310" s="1110"/>
      <c r="S1310" s="1124"/>
      <c r="T1310" s="1124"/>
      <c r="U1310" s="1124"/>
      <c r="V1310" s="1124"/>
      <c r="W1310" s="1124"/>
      <c r="X1310" s="1124"/>
      <c r="Y1310" s="1124"/>
      <c r="Z1310" s="1124"/>
      <c r="AA1310" s="1124"/>
      <c r="AB1310" s="1124"/>
      <c r="AC1310" s="1124"/>
      <c r="AD1310" s="1124"/>
      <c r="AE1310" s="1124"/>
      <c r="AF1310" s="1124"/>
      <c r="AG1310" s="1124"/>
      <c r="AH1310" s="1124"/>
      <c r="AI1310" s="1124"/>
      <c r="AJ1310" s="1124"/>
      <c r="AK1310" s="1124"/>
      <c r="AL1310" s="1124"/>
      <c r="AM1310" s="1124"/>
      <c r="AN1310" s="1124"/>
      <c r="AO1310" s="1124"/>
      <c r="AP1310" s="1124"/>
      <c r="AQ1310" s="1124"/>
      <c r="AR1310" s="1124"/>
      <c r="AS1310" s="1124"/>
      <c r="AT1310" s="1124"/>
      <c r="AU1310" s="1124"/>
      <c r="AV1310" s="1124"/>
      <c r="AW1310" s="1124"/>
      <c r="AX1310" s="1124"/>
      <c r="AY1310" s="1124"/>
      <c r="AZ1310" s="1124"/>
      <c r="BA1310" s="1124"/>
      <c r="BB1310" s="1124"/>
      <c r="BC1310" s="1124"/>
      <c r="BD1310" s="1124"/>
      <c r="BE1310" s="1124"/>
      <c r="BF1310" s="1124"/>
      <c r="BG1310" s="1124"/>
      <c r="BH1310" s="1124"/>
      <c r="BI1310" s="1124"/>
      <c r="BJ1310" s="1124"/>
      <c r="BK1310" s="1124"/>
      <c r="BL1310" s="1124"/>
      <c r="BM1310" s="1124"/>
      <c r="BN1310" s="1124"/>
      <c r="BO1310" s="1124"/>
      <c r="BP1310" s="1124"/>
      <c r="BQ1310" s="1124"/>
      <c r="BR1310" s="1124"/>
      <c r="BS1310" s="1124"/>
      <c r="BT1310" s="1124"/>
    </row>
    <row r="1311" spans="1:72" s="1145" customFormat="1" ht="16.350000000000001" customHeight="1" outlineLevel="3">
      <c r="A1311" s="1105"/>
      <c r="B1311" s="1154" t="s">
        <v>838</v>
      </c>
      <c r="C1311" s="1130"/>
      <c r="D1311" s="1130">
        <v>113238000</v>
      </c>
      <c r="E1311" s="1130">
        <v>110065000</v>
      </c>
      <c r="F1311" s="1130">
        <v>110155000</v>
      </c>
      <c r="G1311" s="1130">
        <f>H1316</f>
        <v>94723000</v>
      </c>
      <c r="H1311" s="1130">
        <f>I1316</f>
        <v>51364000</v>
      </c>
      <c r="I1311" s="1130">
        <f>J1316</f>
        <v>27410000</v>
      </c>
      <c r="J1311" s="1130">
        <v>8977000</v>
      </c>
      <c r="K1311" s="1130">
        <v>8539000</v>
      </c>
      <c r="L1311" s="1143"/>
      <c r="M1311" s="1143"/>
      <c r="N1311" s="1143"/>
      <c r="O1311" s="1143"/>
      <c r="P1311" s="1143"/>
      <c r="Q1311" s="1143"/>
      <c r="R1311" s="1110"/>
      <c r="S1311" s="1144"/>
      <c r="T1311" s="1144"/>
      <c r="U1311" s="1144"/>
      <c r="V1311" s="1144"/>
      <c r="W1311" s="1144"/>
      <c r="X1311" s="1144"/>
      <c r="Y1311" s="1144"/>
      <c r="Z1311" s="1144"/>
      <c r="AA1311" s="1144"/>
      <c r="AB1311" s="1144"/>
      <c r="AC1311" s="1144"/>
      <c r="AD1311" s="1144"/>
      <c r="AE1311" s="1144"/>
      <c r="AF1311" s="1144"/>
      <c r="AG1311" s="1144"/>
      <c r="AH1311" s="1144"/>
      <c r="AI1311" s="1144"/>
      <c r="AJ1311" s="1144"/>
      <c r="AK1311" s="1144"/>
      <c r="AL1311" s="1144"/>
      <c r="AM1311" s="1144"/>
      <c r="AN1311" s="1144"/>
      <c r="AO1311" s="1144"/>
      <c r="AP1311" s="1144"/>
      <c r="AQ1311" s="1144"/>
      <c r="AR1311" s="1144"/>
      <c r="AS1311" s="1144"/>
      <c r="AT1311" s="1144"/>
      <c r="AU1311" s="1144"/>
      <c r="AV1311" s="1144"/>
      <c r="AW1311" s="1144"/>
      <c r="AX1311" s="1144"/>
      <c r="AY1311" s="1144"/>
      <c r="AZ1311" s="1144"/>
      <c r="BA1311" s="1144"/>
      <c r="BB1311" s="1144"/>
      <c r="BC1311" s="1144"/>
      <c r="BD1311" s="1144"/>
      <c r="BE1311" s="1144"/>
      <c r="BF1311" s="1144"/>
      <c r="BG1311" s="1144"/>
      <c r="BH1311" s="1144"/>
      <c r="BI1311" s="1144"/>
      <c r="BJ1311" s="1144"/>
      <c r="BK1311" s="1144"/>
      <c r="BL1311" s="1144"/>
      <c r="BM1311" s="1144"/>
      <c r="BN1311" s="1144"/>
      <c r="BO1311" s="1144"/>
      <c r="BP1311" s="1144"/>
      <c r="BQ1311" s="1144"/>
      <c r="BR1311" s="1144"/>
      <c r="BS1311" s="1144"/>
      <c r="BT1311" s="1144"/>
    </row>
    <row r="1312" spans="1:72" s="450" customFormat="1" ht="16.350000000000001" customHeight="1" outlineLevel="3">
      <c r="A1312" s="1105"/>
      <c r="B1312" s="1155" t="s">
        <v>839</v>
      </c>
      <c r="C1312" s="1130"/>
      <c r="D1312" s="1130"/>
      <c r="E1312" s="1130"/>
      <c r="F1312" s="1130"/>
      <c r="G1312" s="1130"/>
      <c r="H1312" s="1130"/>
      <c r="I1312" s="1130"/>
      <c r="J1312" s="1130"/>
      <c r="K1312" s="1130"/>
      <c r="L1312" s="1134"/>
      <c r="M1312" s="1134"/>
      <c r="N1312" s="1134"/>
      <c r="O1312" s="1134"/>
      <c r="P1312" s="1134"/>
      <c r="Q1312" s="1134"/>
      <c r="R1312" s="1110"/>
      <c r="S1312" s="1135"/>
      <c r="T1312" s="1135"/>
      <c r="U1312" s="1135"/>
      <c r="V1312" s="1135"/>
      <c r="W1312" s="1135"/>
      <c r="X1312" s="1135"/>
      <c r="Y1312" s="1135"/>
      <c r="Z1312" s="1135"/>
      <c r="AA1312" s="1135"/>
      <c r="AB1312" s="1135"/>
      <c r="AC1312" s="1135"/>
      <c r="AD1312" s="1135"/>
      <c r="AE1312" s="1135"/>
      <c r="AF1312" s="1135"/>
      <c r="AG1312" s="1135"/>
      <c r="AH1312" s="1135"/>
      <c r="AI1312" s="1135"/>
      <c r="AJ1312" s="1135"/>
      <c r="AK1312" s="1135"/>
      <c r="AL1312" s="1135"/>
      <c r="AM1312" s="1135"/>
      <c r="AN1312" s="1135"/>
      <c r="AO1312" s="1135"/>
      <c r="AP1312" s="1135"/>
      <c r="AQ1312" s="1135"/>
      <c r="AR1312" s="1135"/>
      <c r="AS1312" s="1135"/>
      <c r="AT1312" s="1135"/>
      <c r="AU1312" s="1135"/>
      <c r="AV1312" s="1135"/>
      <c r="AW1312" s="1135"/>
      <c r="AX1312" s="1135"/>
      <c r="AY1312" s="1135"/>
      <c r="AZ1312" s="1135"/>
      <c r="BA1312" s="1135"/>
      <c r="BB1312" s="1135"/>
      <c r="BC1312" s="1135"/>
      <c r="BD1312" s="1135"/>
      <c r="BE1312" s="1135"/>
      <c r="BF1312" s="1135"/>
      <c r="BG1312" s="1135"/>
      <c r="BH1312" s="1135"/>
      <c r="BI1312" s="1135"/>
      <c r="BJ1312" s="1135"/>
      <c r="BK1312" s="1135"/>
      <c r="BL1312" s="1135"/>
      <c r="BM1312" s="1135"/>
      <c r="BN1312" s="1135"/>
      <c r="BO1312" s="1135"/>
      <c r="BP1312" s="1135"/>
      <c r="BQ1312" s="1135"/>
      <c r="BR1312" s="1135"/>
      <c r="BS1312" s="1135"/>
      <c r="BT1312" s="1135"/>
    </row>
    <row r="1313" spans="1:72" s="450" customFormat="1" ht="16.350000000000001" customHeight="1" outlineLevel="3">
      <c r="A1313" s="1105"/>
      <c r="B1313" s="1155" t="s">
        <v>53</v>
      </c>
      <c r="C1313" s="1130"/>
      <c r="D1313" s="1130">
        <v>79349000</v>
      </c>
      <c r="E1313" s="1130">
        <v>72734000</v>
      </c>
      <c r="F1313" s="1130">
        <v>50778000</v>
      </c>
      <c r="G1313" s="1130">
        <v>55751000</v>
      </c>
      <c r="H1313" s="1130">
        <v>66278000</v>
      </c>
      <c r="I1313" s="1130">
        <v>38577000</v>
      </c>
      <c r="J1313" s="1130">
        <v>20573000</v>
      </c>
      <c r="K1313" s="1130">
        <v>5219000</v>
      </c>
      <c r="L1313" s="1134"/>
      <c r="M1313" s="1134"/>
      <c r="N1313" s="1134"/>
      <c r="O1313" s="1134"/>
      <c r="P1313" s="1134"/>
      <c r="Q1313" s="1134"/>
      <c r="R1313" s="1110"/>
      <c r="S1313" s="1135"/>
      <c r="T1313" s="1135"/>
      <c r="U1313" s="1135"/>
      <c r="V1313" s="1135"/>
      <c r="W1313" s="1135"/>
      <c r="X1313" s="1135"/>
      <c r="Y1313" s="1135"/>
      <c r="Z1313" s="1135"/>
      <c r="AA1313" s="1135"/>
      <c r="AB1313" s="1135"/>
      <c r="AC1313" s="1135"/>
      <c r="AD1313" s="1135"/>
      <c r="AE1313" s="1135"/>
      <c r="AF1313" s="1135"/>
      <c r="AG1313" s="1135"/>
      <c r="AH1313" s="1135"/>
      <c r="AI1313" s="1135"/>
      <c r="AJ1313" s="1135"/>
      <c r="AK1313" s="1135"/>
      <c r="AL1313" s="1135"/>
      <c r="AM1313" s="1135"/>
      <c r="AN1313" s="1135"/>
      <c r="AO1313" s="1135"/>
      <c r="AP1313" s="1135"/>
      <c r="AQ1313" s="1135"/>
      <c r="AR1313" s="1135"/>
      <c r="AS1313" s="1135"/>
      <c r="AT1313" s="1135"/>
      <c r="AU1313" s="1135"/>
      <c r="AV1313" s="1135"/>
      <c r="AW1313" s="1135"/>
      <c r="AX1313" s="1135"/>
      <c r="AY1313" s="1135"/>
      <c r="AZ1313" s="1135"/>
      <c r="BA1313" s="1135"/>
      <c r="BB1313" s="1135"/>
      <c r="BC1313" s="1135"/>
      <c r="BD1313" s="1135"/>
      <c r="BE1313" s="1135"/>
      <c r="BF1313" s="1135"/>
      <c r="BG1313" s="1135"/>
      <c r="BH1313" s="1135"/>
      <c r="BI1313" s="1135"/>
      <c r="BJ1313" s="1135"/>
      <c r="BK1313" s="1135"/>
      <c r="BL1313" s="1135"/>
      <c r="BM1313" s="1135"/>
      <c r="BN1313" s="1135"/>
      <c r="BO1313" s="1135"/>
      <c r="BP1313" s="1135"/>
      <c r="BQ1313" s="1135"/>
      <c r="BR1313" s="1135"/>
      <c r="BS1313" s="1135"/>
      <c r="BT1313" s="1135"/>
    </row>
    <row r="1314" spans="1:72" s="450" customFormat="1" ht="16.350000000000001" customHeight="1" outlineLevel="3">
      <c r="A1314" s="1105"/>
      <c r="B1314" s="1155" t="s">
        <v>840</v>
      </c>
      <c r="C1314" s="1132"/>
      <c r="D1314" s="1132"/>
      <c r="E1314" s="1132">
        <v>0</v>
      </c>
      <c r="F1314" s="1132">
        <v>0</v>
      </c>
      <c r="G1314" s="1130">
        <v>0</v>
      </c>
      <c r="H1314" s="1130">
        <v>0</v>
      </c>
      <c r="I1314" s="1130">
        <v>0</v>
      </c>
      <c r="J1314" s="1130">
        <v>0</v>
      </c>
      <c r="K1314" s="1130">
        <v>0</v>
      </c>
      <c r="L1314" s="1134"/>
      <c r="M1314" s="1134"/>
      <c r="N1314" s="1134"/>
      <c r="O1314" s="1134"/>
      <c r="P1314" s="1134"/>
      <c r="Q1314" s="1134"/>
      <c r="R1314" s="1110"/>
      <c r="S1314" s="1135"/>
      <c r="T1314" s="1135"/>
      <c r="U1314" s="1135"/>
      <c r="V1314" s="1135"/>
      <c r="W1314" s="1135"/>
      <c r="X1314" s="1135"/>
      <c r="Y1314" s="1135"/>
      <c r="Z1314" s="1135"/>
      <c r="AA1314" s="1135"/>
      <c r="AB1314" s="1135"/>
      <c r="AC1314" s="1135"/>
      <c r="AD1314" s="1135"/>
      <c r="AE1314" s="1135"/>
      <c r="AF1314" s="1135"/>
      <c r="AG1314" s="1135"/>
      <c r="AH1314" s="1135"/>
      <c r="AI1314" s="1135"/>
      <c r="AJ1314" s="1135"/>
      <c r="AK1314" s="1135"/>
      <c r="AL1314" s="1135"/>
      <c r="AM1314" s="1135"/>
      <c r="AN1314" s="1135"/>
      <c r="AO1314" s="1135"/>
      <c r="AP1314" s="1135"/>
      <c r="AQ1314" s="1135"/>
      <c r="AR1314" s="1135"/>
      <c r="AS1314" s="1135"/>
      <c r="AT1314" s="1135"/>
      <c r="AU1314" s="1135"/>
      <c r="AV1314" s="1135"/>
      <c r="AW1314" s="1135"/>
      <c r="AX1314" s="1135"/>
      <c r="AY1314" s="1135"/>
      <c r="AZ1314" s="1135"/>
      <c r="BA1314" s="1135"/>
      <c r="BB1314" s="1135"/>
      <c r="BC1314" s="1135"/>
      <c r="BD1314" s="1135"/>
      <c r="BE1314" s="1135"/>
      <c r="BF1314" s="1135"/>
      <c r="BG1314" s="1135"/>
      <c r="BH1314" s="1135"/>
      <c r="BI1314" s="1135"/>
      <c r="BJ1314" s="1135"/>
      <c r="BK1314" s="1135"/>
      <c r="BL1314" s="1135"/>
      <c r="BM1314" s="1135"/>
      <c r="BN1314" s="1135"/>
      <c r="BO1314" s="1135"/>
      <c r="BP1314" s="1135"/>
      <c r="BQ1314" s="1135"/>
      <c r="BR1314" s="1135"/>
      <c r="BS1314" s="1135"/>
      <c r="BT1314" s="1135"/>
    </row>
    <row r="1315" spans="1:72" s="450" customFormat="1" ht="16.350000000000001" customHeight="1" outlineLevel="3">
      <c r="A1315" s="1105"/>
      <c r="B1315" s="1155" t="s">
        <v>54</v>
      </c>
      <c r="C1315" s="1130"/>
      <c r="D1315" s="1130">
        <v>-70570000</v>
      </c>
      <c r="E1315" s="1130">
        <v>-69561000</v>
      </c>
      <c r="F1315" s="1130">
        <v>-50868000</v>
      </c>
      <c r="G1315" s="1130">
        <v>-40319000</v>
      </c>
      <c r="H1315" s="1130">
        <v>-22919000</v>
      </c>
      <c r="I1315" s="1130">
        <v>-14623000</v>
      </c>
      <c r="J1315" s="1130">
        <v>-2140000</v>
      </c>
      <c r="K1315" s="1130">
        <v>-4617000</v>
      </c>
      <c r="L1315" s="1134"/>
      <c r="M1315" s="1134"/>
      <c r="N1315" s="1134"/>
      <c r="O1315" s="1134"/>
      <c r="P1315" s="1134"/>
      <c r="Q1315" s="1134"/>
      <c r="R1315" s="1110"/>
      <c r="S1315" s="1135"/>
      <c r="T1315" s="1135"/>
      <c r="U1315" s="1135"/>
      <c r="V1315" s="1135"/>
      <c r="W1315" s="1135"/>
      <c r="X1315" s="1135"/>
      <c r="Y1315" s="1135"/>
      <c r="Z1315" s="1135"/>
      <c r="AA1315" s="1135"/>
      <c r="AB1315" s="1135"/>
      <c r="AC1315" s="1135"/>
      <c r="AD1315" s="1135"/>
      <c r="AE1315" s="1135"/>
      <c r="AF1315" s="1135"/>
      <c r="AG1315" s="1135"/>
      <c r="AH1315" s="1135"/>
      <c r="AI1315" s="1135"/>
      <c r="AJ1315" s="1135"/>
      <c r="AK1315" s="1135"/>
      <c r="AL1315" s="1135"/>
      <c r="AM1315" s="1135"/>
      <c r="AN1315" s="1135"/>
      <c r="AO1315" s="1135"/>
      <c r="AP1315" s="1135"/>
      <c r="AQ1315" s="1135"/>
      <c r="AR1315" s="1135"/>
      <c r="AS1315" s="1135"/>
      <c r="AT1315" s="1135"/>
      <c r="AU1315" s="1135"/>
      <c r="AV1315" s="1135"/>
      <c r="AW1315" s="1135"/>
      <c r="AX1315" s="1135"/>
      <c r="AY1315" s="1135"/>
      <c r="AZ1315" s="1135"/>
      <c r="BA1315" s="1135"/>
      <c r="BB1315" s="1135"/>
      <c r="BC1315" s="1135"/>
      <c r="BD1315" s="1135"/>
      <c r="BE1315" s="1135"/>
      <c r="BF1315" s="1135"/>
      <c r="BG1315" s="1135"/>
      <c r="BH1315" s="1135"/>
      <c r="BI1315" s="1135"/>
      <c r="BJ1315" s="1135"/>
      <c r="BK1315" s="1135"/>
      <c r="BL1315" s="1135"/>
      <c r="BM1315" s="1135"/>
      <c r="BN1315" s="1135"/>
      <c r="BO1315" s="1135"/>
      <c r="BP1315" s="1135"/>
      <c r="BQ1315" s="1135"/>
      <c r="BR1315" s="1135"/>
      <c r="BS1315" s="1135"/>
      <c r="BT1315" s="1135"/>
    </row>
    <row r="1316" spans="1:72" s="1145" customFormat="1" ht="16.350000000000001" customHeight="1" outlineLevel="3">
      <c r="A1316" s="1105"/>
      <c r="B1316" s="1154" t="s">
        <v>842</v>
      </c>
      <c r="C1316" s="1130"/>
      <c r="D1316" s="1130">
        <v>122017000</v>
      </c>
      <c r="E1316" s="1130">
        <v>113238000</v>
      </c>
      <c r="F1316" s="1130">
        <v>110065000</v>
      </c>
      <c r="G1316" s="1130">
        <f>G1311+G1313+G1315</f>
        <v>110155000</v>
      </c>
      <c r="H1316" s="1130">
        <f>H1311+H1313+H1315</f>
        <v>94723000</v>
      </c>
      <c r="I1316" s="1130">
        <f>I1311+I1313+I1315</f>
        <v>51364000</v>
      </c>
      <c r="J1316" s="1130">
        <f>J1311+J1313+J1315</f>
        <v>27410000</v>
      </c>
      <c r="K1316" s="1130">
        <f>K1311+K1313+K1315</f>
        <v>9141000</v>
      </c>
      <c r="L1316" s="1143"/>
      <c r="M1316" s="1143"/>
      <c r="N1316" s="1143"/>
      <c r="O1316" s="1143"/>
      <c r="P1316" s="1143"/>
      <c r="Q1316" s="1143"/>
      <c r="R1316" s="1110"/>
      <c r="S1316" s="1144"/>
      <c r="T1316" s="1144"/>
      <c r="U1316" s="1144"/>
      <c r="V1316" s="1144"/>
      <c r="W1316" s="1144"/>
      <c r="X1316" s="1144"/>
      <c r="Y1316" s="1144"/>
      <c r="Z1316" s="1144"/>
      <c r="AA1316" s="1144"/>
      <c r="AB1316" s="1144"/>
      <c r="AC1316" s="1144"/>
      <c r="AD1316" s="1144"/>
      <c r="AE1316" s="1144"/>
      <c r="AF1316" s="1144"/>
      <c r="AG1316" s="1144"/>
      <c r="AH1316" s="1144"/>
      <c r="AI1316" s="1144"/>
      <c r="AJ1316" s="1144"/>
      <c r="AK1316" s="1144"/>
      <c r="AL1316" s="1144"/>
      <c r="AM1316" s="1144"/>
      <c r="AN1316" s="1144"/>
      <c r="AO1316" s="1144"/>
      <c r="AP1316" s="1144"/>
      <c r="AQ1316" s="1144"/>
      <c r="AR1316" s="1144"/>
      <c r="AS1316" s="1144"/>
      <c r="AT1316" s="1144"/>
      <c r="AU1316" s="1144"/>
      <c r="AV1316" s="1144"/>
      <c r="AW1316" s="1144"/>
      <c r="AX1316" s="1144"/>
      <c r="AY1316" s="1144"/>
      <c r="AZ1316" s="1144"/>
      <c r="BA1316" s="1144"/>
      <c r="BB1316" s="1144"/>
      <c r="BC1316" s="1144"/>
      <c r="BD1316" s="1144"/>
      <c r="BE1316" s="1144"/>
      <c r="BF1316" s="1144"/>
      <c r="BG1316" s="1144"/>
      <c r="BH1316" s="1144"/>
      <c r="BI1316" s="1144"/>
      <c r="BJ1316" s="1144"/>
      <c r="BK1316" s="1144"/>
      <c r="BL1316" s="1144"/>
      <c r="BM1316" s="1144"/>
      <c r="BN1316" s="1144"/>
      <c r="BO1316" s="1144"/>
      <c r="BP1316" s="1144"/>
      <c r="BQ1316" s="1144"/>
      <c r="BR1316" s="1144"/>
      <c r="BS1316" s="1144"/>
      <c r="BT1316" s="1144"/>
    </row>
    <row r="1317" spans="1:72" s="1125" customFormat="1" ht="16.350000000000001" customHeight="1" outlineLevel="3">
      <c r="A1317" s="1105"/>
      <c r="B1317" s="1126"/>
      <c r="C1317" s="1122"/>
      <c r="D1317" s="1122"/>
      <c r="E1317" s="1122"/>
      <c r="F1317" s="1122"/>
      <c r="G1317" s="1122"/>
      <c r="H1317" s="1122"/>
      <c r="I1317" s="1122"/>
      <c r="J1317" s="1122"/>
      <c r="K1317" s="1122"/>
      <c r="L1317" s="1123"/>
      <c r="M1317" s="1123"/>
      <c r="N1317" s="1123"/>
      <c r="O1317" s="1123"/>
      <c r="P1317" s="1123"/>
      <c r="Q1317" s="1123"/>
      <c r="R1317" s="1110"/>
      <c r="S1317" s="1124"/>
      <c r="T1317" s="1124"/>
      <c r="U1317" s="1124"/>
      <c r="V1317" s="1124"/>
      <c r="W1317" s="1124"/>
      <c r="X1317" s="1124"/>
      <c r="Y1317" s="1124"/>
      <c r="Z1317" s="1124"/>
      <c r="AA1317" s="1124"/>
      <c r="AB1317" s="1124"/>
      <c r="AC1317" s="1124"/>
      <c r="AD1317" s="1124"/>
      <c r="AE1317" s="1124"/>
      <c r="AF1317" s="1124"/>
      <c r="AG1317" s="1124"/>
      <c r="AH1317" s="1124"/>
      <c r="AI1317" s="1124"/>
      <c r="AJ1317" s="1124"/>
      <c r="AK1317" s="1124"/>
      <c r="AL1317" s="1124"/>
      <c r="AM1317" s="1124"/>
      <c r="AN1317" s="1124"/>
      <c r="AO1317" s="1124"/>
      <c r="AP1317" s="1124"/>
      <c r="AQ1317" s="1124"/>
      <c r="AR1317" s="1124"/>
      <c r="AS1317" s="1124"/>
      <c r="AT1317" s="1124"/>
      <c r="AU1317" s="1124"/>
      <c r="AV1317" s="1124"/>
      <c r="AW1317" s="1124"/>
      <c r="AX1317" s="1124"/>
      <c r="AY1317" s="1124"/>
      <c r="AZ1317" s="1124"/>
      <c r="BA1317" s="1124"/>
      <c r="BB1317" s="1124"/>
      <c r="BC1317" s="1124"/>
      <c r="BD1317" s="1124"/>
      <c r="BE1317" s="1124"/>
      <c r="BF1317" s="1124"/>
      <c r="BG1317" s="1124"/>
      <c r="BH1317" s="1124"/>
      <c r="BI1317" s="1124"/>
      <c r="BJ1317" s="1124"/>
      <c r="BK1317" s="1124"/>
      <c r="BL1317" s="1124"/>
      <c r="BM1317" s="1124"/>
      <c r="BN1317" s="1124"/>
      <c r="BO1317" s="1124"/>
      <c r="BP1317" s="1124"/>
      <c r="BQ1317" s="1124"/>
      <c r="BR1317" s="1124"/>
      <c r="BS1317" s="1124"/>
      <c r="BT1317" s="1124"/>
    </row>
    <row r="1318" spans="1:72" s="1145" customFormat="1" ht="16.350000000000001" customHeight="1" outlineLevel="3">
      <c r="A1318" s="1105"/>
      <c r="B1318" s="1154" t="s">
        <v>854</v>
      </c>
      <c r="C1318" s="1130"/>
      <c r="D1318" s="1130">
        <v>-56739000</v>
      </c>
      <c r="E1318" s="1130">
        <v>-68769000</v>
      </c>
      <c r="F1318" s="1130">
        <v>-57722000</v>
      </c>
      <c r="G1318" s="1130">
        <f>H1321</f>
        <v>-41077000</v>
      </c>
      <c r="H1318" s="1130">
        <f>I1321</f>
        <v>-20472000</v>
      </c>
      <c r="I1318" s="1130">
        <f>J1321</f>
        <v>-9888000</v>
      </c>
      <c r="J1318" s="1130">
        <v>-3385000</v>
      </c>
      <c r="K1318" s="1130">
        <v>-4862000</v>
      </c>
      <c r="L1318" s="1143"/>
      <c r="M1318" s="1143"/>
      <c r="N1318" s="1143"/>
      <c r="O1318" s="1143"/>
      <c r="P1318" s="1143"/>
      <c r="Q1318" s="1143"/>
      <c r="R1318" s="1110"/>
      <c r="S1318" s="1144"/>
      <c r="T1318" s="1144"/>
      <c r="U1318" s="1144"/>
      <c r="V1318" s="1144"/>
      <c r="W1318" s="1144"/>
      <c r="X1318" s="1144"/>
      <c r="Y1318" s="1144"/>
      <c r="Z1318" s="1144"/>
      <c r="AA1318" s="1144"/>
      <c r="AB1318" s="1144"/>
      <c r="AC1318" s="1144"/>
      <c r="AD1318" s="1144"/>
      <c r="AE1318" s="1144"/>
      <c r="AF1318" s="1144"/>
      <c r="AG1318" s="1144"/>
      <c r="AH1318" s="1144"/>
      <c r="AI1318" s="1144"/>
      <c r="AJ1318" s="1144"/>
      <c r="AK1318" s="1144"/>
      <c r="AL1318" s="1144"/>
      <c r="AM1318" s="1144"/>
      <c r="AN1318" s="1144"/>
      <c r="AO1318" s="1144"/>
      <c r="AP1318" s="1144"/>
      <c r="AQ1318" s="1144"/>
      <c r="AR1318" s="1144"/>
      <c r="AS1318" s="1144"/>
      <c r="AT1318" s="1144"/>
      <c r="AU1318" s="1144"/>
      <c r="AV1318" s="1144"/>
      <c r="AW1318" s="1144"/>
      <c r="AX1318" s="1144"/>
      <c r="AY1318" s="1144"/>
      <c r="AZ1318" s="1144"/>
      <c r="BA1318" s="1144"/>
      <c r="BB1318" s="1144"/>
      <c r="BC1318" s="1144"/>
      <c r="BD1318" s="1144"/>
      <c r="BE1318" s="1144"/>
      <c r="BF1318" s="1144"/>
      <c r="BG1318" s="1144"/>
      <c r="BH1318" s="1144"/>
      <c r="BI1318" s="1144"/>
      <c r="BJ1318" s="1144"/>
      <c r="BK1318" s="1144"/>
      <c r="BL1318" s="1144"/>
      <c r="BM1318" s="1144"/>
      <c r="BN1318" s="1144"/>
      <c r="BO1318" s="1144"/>
      <c r="BP1318" s="1144"/>
      <c r="BQ1318" s="1144"/>
      <c r="BR1318" s="1144"/>
      <c r="BS1318" s="1144"/>
      <c r="BT1318" s="1144"/>
    </row>
    <row r="1319" spans="1:72" s="450" customFormat="1" ht="16.350000000000001" customHeight="1" outlineLevel="3">
      <c r="A1319" s="1105"/>
      <c r="B1319" s="1155" t="s">
        <v>94</v>
      </c>
      <c r="C1319" s="1130"/>
      <c r="D1319" s="1130">
        <v>-66707000</v>
      </c>
      <c r="E1319" s="1130">
        <v>-57531000</v>
      </c>
      <c r="F1319" s="1130">
        <v>-61914000</v>
      </c>
      <c r="G1319" s="1130">
        <v>-56964000</v>
      </c>
      <c r="H1319" s="1130">
        <v>-43522000</v>
      </c>
      <c r="I1319" s="1130">
        <v>-25205000</v>
      </c>
      <c r="J1319" s="1130">
        <v>-8643000</v>
      </c>
      <c r="K1319" s="1130">
        <v>-3144000</v>
      </c>
      <c r="L1319" s="1134"/>
      <c r="M1319" s="1134"/>
      <c r="N1319" s="1134"/>
      <c r="O1319" s="1134"/>
      <c r="P1319" s="1134"/>
      <c r="Q1319" s="1134"/>
      <c r="R1319" s="1110"/>
      <c r="S1319" s="1135"/>
      <c r="T1319" s="1135"/>
      <c r="U1319" s="1135"/>
      <c r="V1319" s="1135"/>
      <c r="W1319" s="1135"/>
      <c r="X1319" s="1135"/>
      <c r="Y1319" s="1135"/>
      <c r="Z1319" s="1135"/>
      <c r="AA1319" s="1135"/>
      <c r="AB1319" s="1135"/>
      <c r="AC1319" s="1135"/>
      <c r="AD1319" s="1135"/>
      <c r="AE1319" s="1135"/>
      <c r="AF1319" s="1135"/>
      <c r="AG1319" s="1135"/>
      <c r="AH1319" s="1135"/>
      <c r="AI1319" s="1135"/>
      <c r="AJ1319" s="1135"/>
      <c r="AK1319" s="1135"/>
      <c r="AL1319" s="1135"/>
      <c r="AM1319" s="1135"/>
      <c r="AN1319" s="1135"/>
      <c r="AO1319" s="1135"/>
      <c r="AP1319" s="1135"/>
      <c r="AQ1319" s="1135"/>
      <c r="AR1319" s="1135"/>
      <c r="AS1319" s="1135"/>
      <c r="AT1319" s="1135"/>
      <c r="AU1319" s="1135"/>
      <c r="AV1319" s="1135"/>
      <c r="AW1319" s="1135"/>
      <c r="AX1319" s="1135"/>
      <c r="AY1319" s="1135"/>
      <c r="AZ1319" s="1135"/>
      <c r="BA1319" s="1135"/>
      <c r="BB1319" s="1135"/>
      <c r="BC1319" s="1135"/>
      <c r="BD1319" s="1135"/>
      <c r="BE1319" s="1135"/>
      <c r="BF1319" s="1135"/>
      <c r="BG1319" s="1135"/>
      <c r="BH1319" s="1135"/>
      <c r="BI1319" s="1135"/>
      <c r="BJ1319" s="1135"/>
      <c r="BK1319" s="1135"/>
      <c r="BL1319" s="1135"/>
      <c r="BM1319" s="1135"/>
      <c r="BN1319" s="1135"/>
      <c r="BO1319" s="1135"/>
      <c r="BP1319" s="1135"/>
      <c r="BQ1319" s="1135"/>
      <c r="BR1319" s="1135"/>
      <c r="BS1319" s="1135"/>
      <c r="BT1319" s="1135"/>
    </row>
    <row r="1320" spans="1:72" s="450" customFormat="1" ht="16.350000000000001" customHeight="1" outlineLevel="3">
      <c r="A1320" s="1105"/>
      <c r="B1320" s="1155" t="s">
        <v>54</v>
      </c>
      <c r="C1320" s="1130"/>
      <c r="D1320" s="1130">
        <v>69442000</v>
      </c>
      <c r="E1320" s="1130">
        <v>69561000</v>
      </c>
      <c r="F1320" s="1130">
        <v>50867000</v>
      </c>
      <c r="G1320" s="1130">
        <v>40319000</v>
      </c>
      <c r="H1320" s="1130">
        <v>22917000</v>
      </c>
      <c r="I1320" s="1130">
        <v>14621000</v>
      </c>
      <c r="J1320" s="1130">
        <v>2140000</v>
      </c>
      <c r="K1320" s="1130">
        <v>4617000</v>
      </c>
      <c r="L1320" s="1134"/>
      <c r="M1320" s="1134"/>
      <c r="N1320" s="1134"/>
      <c r="O1320" s="1134"/>
      <c r="P1320" s="1134"/>
      <c r="Q1320" s="1134"/>
      <c r="R1320" s="1110"/>
      <c r="S1320" s="1135"/>
      <c r="T1320" s="1135"/>
      <c r="U1320" s="1135"/>
      <c r="V1320" s="1135"/>
      <c r="W1320" s="1135"/>
      <c r="X1320" s="1135"/>
      <c r="Y1320" s="1135"/>
      <c r="Z1320" s="1135"/>
      <c r="AA1320" s="1135"/>
      <c r="AB1320" s="1135"/>
      <c r="AC1320" s="1135"/>
      <c r="AD1320" s="1135"/>
      <c r="AE1320" s="1135"/>
      <c r="AF1320" s="1135"/>
      <c r="AG1320" s="1135"/>
      <c r="AH1320" s="1135"/>
      <c r="AI1320" s="1135"/>
      <c r="AJ1320" s="1135"/>
      <c r="AK1320" s="1135"/>
      <c r="AL1320" s="1135"/>
      <c r="AM1320" s="1135"/>
      <c r="AN1320" s="1135"/>
      <c r="AO1320" s="1135"/>
      <c r="AP1320" s="1135"/>
      <c r="AQ1320" s="1135"/>
      <c r="AR1320" s="1135"/>
      <c r="AS1320" s="1135"/>
      <c r="AT1320" s="1135"/>
      <c r="AU1320" s="1135"/>
      <c r="AV1320" s="1135"/>
      <c r="AW1320" s="1135"/>
      <c r="AX1320" s="1135"/>
      <c r="AY1320" s="1135"/>
      <c r="AZ1320" s="1135"/>
      <c r="BA1320" s="1135"/>
      <c r="BB1320" s="1135"/>
      <c r="BC1320" s="1135"/>
      <c r="BD1320" s="1135"/>
      <c r="BE1320" s="1135"/>
      <c r="BF1320" s="1135"/>
      <c r="BG1320" s="1135"/>
      <c r="BH1320" s="1135"/>
      <c r="BI1320" s="1135"/>
      <c r="BJ1320" s="1135"/>
      <c r="BK1320" s="1135"/>
      <c r="BL1320" s="1135"/>
      <c r="BM1320" s="1135"/>
      <c r="BN1320" s="1135"/>
      <c r="BO1320" s="1135"/>
      <c r="BP1320" s="1135"/>
      <c r="BQ1320" s="1135"/>
      <c r="BR1320" s="1135"/>
      <c r="BS1320" s="1135"/>
      <c r="BT1320" s="1135"/>
    </row>
    <row r="1321" spans="1:72" s="1145" customFormat="1" ht="16.350000000000001" customHeight="1" outlineLevel="3">
      <c r="A1321" s="1105"/>
      <c r="B1321" s="1154" t="s">
        <v>844</v>
      </c>
      <c r="C1321" s="1130"/>
      <c r="D1321" s="1130">
        <v>-54004000</v>
      </c>
      <c r="E1321" s="1130">
        <v>-56739000</v>
      </c>
      <c r="F1321" s="1130">
        <v>-68769000</v>
      </c>
      <c r="G1321" s="1130">
        <f>G1318+G1319+G1320</f>
        <v>-57722000</v>
      </c>
      <c r="H1321" s="1130">
        <f>H1318+H1319+H1320</f>
        <v>-41077000</v>
      </c>
      <c r="I1321" s="1130">
        <f>I1318+I1319+I1320</f>
        <v>-20472000</v>
      </c>
      <c r="J1321" s="1130">
        <f>J1318+J1319+J1320</f>
        <v>-9888000</v>
      </c>
      <c r="K1321" s="1130">
        <f>K1318+K1319+K1320</f>
        <v>-3389000</v>
      </c>
      <c r="L1321" s="1143"/>
      <c r="M1321" s="1143"/>
      <c r="N1321" s="1143"/>
      <c r="O1321" s="1143"/>
      <c r="P1321" s="1143"/>
      <c r="Q1321" s="1143"/>
      <c r="R1321" s="1110"/>
      <c r="S1321" s="1144"/>
      <c r="T1321" s="1144"/>
      <c r="U1321" s="1144"/>
      <c r="V1321" s="1144"/>
      <c r="W1321" s="1144"/>
      <c r="X1321" s="1144"/>
      <c r="Y1321" s="1144"/>
      <c r="Z1321" s="1144"/>
      <c r="AA1321" s="1144"/>
      <c r="AB1321" s="1144"/>
      <c r="AC1321" s="1144"/>
      <c r="AD1321" s="1144"/>
      <c r="AE1321" s="1144"/>
      <c r="AF1321" s="1144"/>
      <c r="AG1321" s="1144"/>
      <c r="AH1321" s="1144"/>
      <c r="AI1321" s="1144"/>
      <c r="AJ1321" s="1144"/>
      <c r="AK1321" s="1144"/>
      <c r="AL1321" s="1144"/>
      <c r="AM1321" s="1144"/>
      <c r="AN1321" s="1144"/>
      <c r="AO1321" s="1144"/>
      <c r="AP1321" s="1144"/>
      <c r="AQ1321" s="1144"/>
      <c r="AR1321" s="1144"/>
      <c r="AS1321" s="1144"/>
      <c r="AT1321" s="1144"/>
      <c r="AU1321" s="1144"/>
      <c r="AV1321" s="1144"/>
      <c r="AW1321" s="1144"/>
      <c r="AX1321" s="1144"/>
      <c r="AY1321" s="1144"/>
      <c r="AZ1321" s="1144"/>
      <c r="BA1321" s="1144"/>
      <c r="BB1321" s="1144"/>
      <c r="BC1321" s="1144"/>
      <c r="BD1321" s="1144"/>
      <c r="BE1321" s="1144"/>
      <c r="BF1321" s="1144"/>
      <c r="BG1321" s="1144"/>
      <c r="BH1321" s="1144"/>
      <c r="BI1321" s="1144"/>
      <c r="BJ1321" s="1144"/>
      <c r="BK1321" s="1144"/>
      <c r="BL1321" s="1144"/>
      <c r="BM1321" s="1144"/>
      <c r="BN1321" s="1144"/>
      <c r="BO1321" s="1144"/>
      <c r="BP1321" s="1144"/>
      <c r="BQ1321" s="1144"/>
      <c r="BR1321" s="1144"/>
      <c r="BS1321" s="1144"/>
      <c r="BT1321" s="1144"/>
    </row>
    <row r="1322" spans="1:72" s="1145" customFormat="1" ht="16.350000000000001" customHeight="1" outlineLevel="3">
      <c r="A1322" s="1105"/>
      <c r="B1322" s="1154"/>
      <c r="C1322" s="1130"/>
      <c r="D1322" s="1130"/>
      <c r="E1322" s="1130"/>
      <c r="F1322" s="1130"/>
      <c r="G1322" s="1130"/>
      <c r="H1322" s="1130"/>
      <c r="I1322" s="1130"/>
      <c r="J1322" s="1130"/>
      <c r="K1322" s="1130"/>
      <c r="L1322" s="1143"/>
      <c r="M1322" s="1143"/>
      <c r="N1322" s="1143"/>
      <c r="O1322" s="1143"/>
      <c r="P1322" s="1143"/>
      <c r="Q1322" s="1143"/>
      <c r="R1322" s="1110"/>
      <c r="S1322" s="1144"/>
      <c r="T1322" s="1144"/>
      <c r="U1322" s="1144"/>
      <c r="V1322" s="1144"/>
      <c r="W1322" s="1144"/>
      <c r="X1322" s="1144"/>
      <c r="Y1322" s="1144"/>
      <c r="Z1322" s="1144"/>
      <c r="AA1322" s="1144"/>
      <c r="AB1322" s="1144"/>
      <c r="AC1322" s="1144"/>
      <c r="AD1322" s="1144"/>
      <c r="AE1322" s="1144"/>
      <c r="AF1322" s="1144"/>
      <c r="AG1322" s="1144"/>
      <c r="AH1322" s="1144"/>
      <c r="AI1322" s="1144"/>
      <c r="AJ1322" s="1144"/>
      <c r="AK1322" s="1144"/>
      <c r="AL1322" s="1144"/>
      <c r="AM1322" s="1144"/>
      <c r="AN1322" s="1144"/>
      <c r="AO1322" s="1144"/>
      <c r="AP1322" s="1144"/>
      <c r="AQ1322" s="1144"/>
      <c r="AR1322" s="1144"/>
      <c r="AS1322" s="1144"/>
      <c r="AT1322" s="1144"/>
      <c r="AU1322" s="1144"/>
      <c r="AV1322" s="1144"/>
      <c r="AW1322" s="1144"/>
      <c r="AX1322" s="1144"/>
      <c r="AY1322" s="1144"/>
      <c r="AZ1322" s="1144"/>
      <c r="BA1322" s="1144"/>
      <c r="BB1322" s="1144"/>
      <c r="BC1322" s="1144"/>
      <c r="BD1322" s="1144"/>
      <c r="BE1322" s="1144"/>
      <c r="BF1322" s="1144"/>
      <c r="BG1322" s="1144"/>
      <c r="BH1322" s="1144"/>
      <c r="BI1322" s="1144"/>
      <c r="BJ1322" s="1144"/>
      <c r="BK1322" s="1144"/>
      <c r="BL1322" s="1144"/>
      <c r="BM1322" s="1144"/>
      <c r="BN1322" s="1144"/>
      <c r="BO1322" s="1144"/>
      <c r="BP1322" s="1144"/>
      <c r="BQ1322" s="1144"/>
      <c r="BR1322" s="1144"/>
      <c r="BS1322" s="1144"/>
      <c r="BT1322" s="1144"/>
    </row>
    <row r="1323" spans="1:72" s="1145" customFormat="1" ht="16.350000000000001" customHeight="1" outlineLevel="3">
      <c r="A1323" s="1105"/>
      <c r="B1323" s="1154" t="s">
        <v>845</v>
      </c>
      <c r="C1323" s="1130"/>
      <c r="D1323" s="1130">
        <v>56499000</v>
      </c>
      <c r="E1323" s="1130">
        <v>41296000</v>
      </c>
      <c r="F1323" s="1130">
        <v>52433000</v>
      </c>
      <c r="G1323" s="1130">
        <f>G1311+G1318</f>
        <v>53646000</v>
      </c>
      <c r="H1323" s="1130">
        <f>H1311+H1318</f>
        <v>30892000</v>
      </c>
      <c r="I1323" s="1130">
        <f>I1311+I1318</f>
        <v>17522000</v>
      </c>
      <c r="J1323" s="1130">
        <f>J1311+J1318</f>
        <v>5592000</v>
      </c>
      <c r="K1323" s="1130">
        <f>K1311+K1318</f>
        <v>3677000</v>
      </c>
      <c r="L1323" s="1143"/>
      <c r="M1323" s="1143"/>
      <c r="N1323" s="1143"/>
      <c r="O1323" s="1143"/>
      <c r="P1323" s="1143"/>
      <c r="Q1323" s="1143"/>
      <c r="R1323" s="1110"/>
      <c r="S1323" s="1144"/>
      <c r="T1323" s="1144"/>
      <c r="U1323" s="1144"/>
      <c r="V1323" s="1144"/>
      <c r="W1323" s="1144"/>
      <c r="X1323" s="1144"/>
      <c r="Y1323" s="1144"/>
      <c r="Z1323" s="1144"/>
      <c r="AA1323" s="1144"/>
      <c r="AB1323" s="1144"/>
      <c r="AC1323" s="1144"/>
      <c r="AD1323" s="1144"/>
      <c r="AE1323" s="1144"/>
      <c r="AF1323" s="1144"/>
      <c r="AG1323" s="1144"/>
      <c r="AH1323" s="1144"/>
      <c r="AI1323" s="1144"/>
      <c r="AJ1323" s="1144"/>
      <c r="AK1323" s="1144"/>
      <c r="AL1323" s="1144"/>
      <c r="AM1323" s="1144"/>
      <c r="AN1323" s="1144"/>
      <c r="AO1323" s="1144"/>
      <c r="AP1323" s="1144"/>
      <c r="AQ1323" s="1144"/>
      <c r="AR1323" s="1144"/>
      <c r="AS1323" s="1144"/>
      <c r="AT1323" s="1144"/>
      <c r="AU1323" s="1144"/>
      <c r="AV1323" s="1144"/>
      <c r="AW1323" s="1144"/>
      <c r="AX1323" s="1144"/>
      <c r="AY1323" s="1144"/>
      <c r="AZ1323" s="1144"/>
      <c r="BA1323" s="1144"/>
      <c r="BB1323" s="1144"/>
      <c r="BC1323" s="1144"/>
      <c r="BD1323" s="1144"/>
      <c r="BE1323" s="1144"/>
      <c r="BF1323" s="1144"/>
      <c r="BG1323" s="1144"/>
      <c r="BH1323" s="1144"/>
      <c r="BI1323" s="1144"/>
      <c r="BJ1323" s="1144"/>
      <c r="BK1323" s="1144"/>
      <c r="BL1323" s="1144"/>
      <c r="BM1323" s="1144"/>
      <c r="BN1323" s="1144"/>
      <c r="BO1323" s="1144"/>
      <c r="BP1323" s="1144"/>
      <c r="BQ1323" s="1144"/>
      <c r="BR1323" s="1144"/>
      <c r="BS1323" s="1144"/>
      <c r="BT1323" s="1144"/>
    </row>
    <row r="1324" spans="1:72" s="1145" customFormat="1" ht="16.350000000000001" customHeight="1" outlineLevel="3">
      <c r="A1324" s="1105"/>
      <c r="B1324" s="1142" t="s">
        <v>846</v>
      </c>
      <c r="C1324" s="1130"/>
      <c r="D1324" s="1130">
        <f>D1325-D1323</f>
        <v>11514000</v>
      </c>
      <c r="E1324" s="1130">
        <f>E1325-E1323</f>
        <v>15203000</v>
      </c>
      <c r="F1324" s="1130">
        <f t="shared" ref="F1324:K1324" si="162">F1325-F1323</f>
        <v>-11137000</v>
      </c>
      <c r="G1324" s="1130">
        <f t="shared" si="162"/>
        <v>-1213000</v>
      </c>
      <c r="H1324" s="1130">
        <f t="shared" si="162"/>
        <v>22754000</v>
      </c>
      <c r="I1324" s="1130">
        <f t="shared" si="162"/>
        <v>13370000</v>
      </c>
      <c r="J1324" s="1130">
        <f t="shared" si="162"/>
        <v>11930000</v>
      </c>
      <c r="K1324" s="1130">
        <f t="shared" si="162"/>
        <v>2075000</v>
      </c>
      <c r="L1324" s="1143"/>
      <c r="M1324" s="1143"/>
      <c r="N1324" s="1143"/>
      <c r="O1324" s="1143"/>
      <c r="P1324" s="1143"/>
      <c r="Q1324" s="1143"/>
      <c r="R1324" s="1110"/>
      <c r="S1324" s="1144"/>
      <c r="T1324" s="1144"/>
      <c r="U1324" s="1144"/>
      <c r="V1324" s="1144"/>
      <c r="W1324" s="1144"/>
      <c r="X1324" s="1144"/>
      <c r="Y1324" s="1144"/>
      <c r="Z1324" s="1144"/>
      <c r="AA1324" s="1144"/>
      <c r="AB1324" s="1144"/>
      <c r="AC1324" s="1144"/>
      <c r="AD1324" s="1144"/>
      <c r="AE1324" s="1144"/>
      <c r="AF1324" s="1144"/>
      <c r="AG1324" s="1144"/>
      <c r="AH1324" s="1144"/>
      <c r="AI1324" s="1144"/>
      <c r="AJ1324" s="1144"/>
      <c r="AK1324" s="1144"/>
      <c r="AL1324" s="1144"/>
      <c r="AM1324" s="1144"/>
      <c r="AN1324" s="1144"/>
      <c r="AO1324" s="1144"/>
      <c r="AP1324" s="1144"/>
      <c r="AQ1324" s="1144"/>
      <c r="AR1324" s="1144"/>
      <c r="AS1324" s="1144"/>
      <c r="AT1324" s="1144"/>
      <c r="AU1324" s="1144"/>
      <c r="AV1324" s="1144"/>
      <c r="AW1324" s="1144"/>
      <c r="AX1324" s="1144"/>
      <c r="AY1324" s="1144"/>
      <c r="AZ1324" s="1144"/>
      <c r="BA1324" s="1144"/>
      <c r="BB1324" s="1144"/>
      <c r="BC1324" s="1144"/>
      <c r="BD1324" s="1144"/>
      <c r="BE1324" s="1144"/>
      <c r="BF1324" s="1144"/>
      <c r="BG1324" s="1144"/>
      <c r="BH1324" s="1144"/>
      <c r="BI1324" s="1144"/>
      <c r="BJ1324" s="1144"/>
      <c r="BK1324" s="1144"/>
      <c r="BL1324" s="1144"/>
      <c r="BM1324" s="1144"/>
      <c r="BN1324" s="1144"/>
      <c r="BO1324" s="1144"/>
      <c r="BP1324" s="1144"/>
      <c r="BQ1324" s="1144"/>
      <c r="BR1324" s="1144"/>
      <c r="BS1324" s="1144"/>
      <c r="BT1324" s="1144"/>
    </row>
    <row r="1325" spans="1:72" s="1145" customFormat="1" ht="16.350000000000001" customHeight="1" outlineLevel="3">
      <c r="A1325" s="1105"/>
      <c r="B1325" s="1154" t="s">
        <v>847</v>
      </c>
      <c r="C1325" s="1130"/>
      <c r="D1325" s="1130">
        <v>68013000</v>
      </c>
      <c r="E1325" s="1130">
        <v>56499000</v>
      </c>
      <c r="F1325" s="1130">
        <v>41296000</v>
      </c>
      <c r="G1325" s="1130">
        <f>G1316+G1321</f>
        <v>52433000</v>
      </c>
      <c r="H1325" s="1130">
        <f>H1316+H1321</f>
        <v>53646000</v>
      </c>
      <c r="I1325" s="1130">
        <f>I1316+I1321</f>
        <v>30892000</v>
      </c>
      <c r="J1325" s="1130">
        <f>J1316+J1321</f>
        <v>17522000</v>
      </c>
      <c r="K1325" s="1130">
        <f>K1316+K1321</f>
        <v>5752000</v>
      </c>
      <c r="L1325" s="1143"/>
      <c r="M1325" s="1143"/>
      <c r="N1325" s="1143"/>
      <c r="O1325" s="1143"/>
      <c r="P1325" s="1143"/>
      <c r="Q1325" s="1143"/>
      <c r="R1325" s="1110"/>
      <c r="S1325" s="1144"/>
      <c r="T1325" s="1144"/>
      <c r="U1325" s="1144"/>
      <c r="V1325" s="1144"/>
      <c r="W1325" s="1144"/>
      <c r="X1325" s="1144"/>
      <c r="Y1325" s="1144"/>
      <c r="Z1325" s="1144"/>
      <c r="AA1325" s="1144"/>
      <c r="AB1325" s="1144"/>
      <c r="AC1325" s="1144"/>
      <c r="AD1325" s="1144"/>
      <c r="AE1325" s="1144"/>
      <c r="AF1325" s="1144"/>
      <c r="AG1325" s="1144"/>
      <c r="AH1325" s="1144"/>
      <c r="AI1325" s="1144"/>
      <c r="AJ1325" s="1144"/>
      <c r="AK1325" s="1144"/>
      <c r="AL1325" s="1144"/>
      <c r="AM1325" s="1144"/>
      <c r="AN1325" s="1144"/>
      <c r="AO1325" s="1144"/>
      <c r="AP1325" s="1144"/>
      <c r="AQ1325" s="1144"/>
      <c r="AR1325" s="1144"/>
      <c r="AS1325" s="1144"/>
      <c r="AT1325" s="1144"/>
      <c r="AU1325" s="1144"/>
      <c r="AV1325" s="1144"/>
      <c r="AW1325" s="1144"/>
      <c r="AX1325" s="1144"/>
      <c r="AY1325" s="1144"/>
      <c r="AZ1325" s="1144"/>
      <c r="BA1325" s="1144"/>
      <c r="BB1325" s="1144"/>
      <c r="BC1325" s="1144"/>
      <c r="BD1325" s="1144"/>
      <c r="BE1325" s="1144"/>
      <c r="BF1325" s="1144"/>
      <c r="BG1325" s="1144"/>
      <c r="BH1325" s="1144"/>
      <c r="BI1325" s="1144"/>
      <c r="BJ1325" s="1144"/>
      <c r="BK1325" s="1144"/>
      <c r="BL1325" s="1144"/>
      <c r="BM1325" s="1144"/>
      <c r="BN1325" s="1144"/>
      <c r="BO1325" s="1144"/>
      <c r="BP1325" s="1144"/>
      <c r="BQ1325" s="1144"/>
      <c r="BR1325" s="1144"/>
      <c r="BS1325" s="1144"/>
      <c r="BT1325" s="1144"/>
    </row>
    <row r="1326" spans="1:72" s="1175" customFormat="1" ht="16.350000000000001" customHeight="1" outlineLevel="1">
      <c r="A1326" s="1105"/>
      <c r="B1326" s="1121" t="s">
        <v>860</v>
      </c>
      <c r="C1326" s="1172"/>
      <c r="D1326" s="1172">
        <v>24091508000</v>
      </c>
      <c r="E1326" s="1172">
        <v>1367493000</v>
      </c>
      <c r="F1326" s="1172">
        <v>1367493000</v>
      </c>
      <c r="G1326" s="1172">
        <f>G1330</f>
        <v>1367493000</v>
      </c>
      <c r="H1326" s="1172">
        <f>H1330</f>
        <v>1367493000</v>
      </c>
      <c r="I1326" s="1172">
        <f>I1330</f>
        <v>1367493000</v>
      </c>
      <c r="J1326" s="1172">
        <v>0</v>
      </c>
      <c r="K1326" s="1172">
        <v>0</v>
      </c>
      <c r="L1326" s="1173"/>
      <c r="M1326" s="1173"/>
      <c r="N1326" s="1173"/>
      <c r="O1326" s="1173"/>
      <c r="P1326" s="1173"/>
      <c r="Q1326" s="1173"/>
      <c r="R1326" s="1110"/>
      <c r="S1326" s="1174"/>
      <c r="T1326" s="1174"/>
      <c r="U1326" s="1174"/>
      <c r="V1326" s="1174"/>
      <c r="W1326" s="1174"/>
      <c r="X1326" s="1174"/>
      <c r="Y1326" s="1174"/>
      <c r="Z1326" s="1174"/>
      <c r="AA1326" s="1174"/>
      <c r="AB1326" s="1174"/>
      <c r="AC1326" s="1174"/>
      <c r="AD1326" s="1174"/>
      <c r="AE1326" s="1174"/>
      <c r="AF1326" s="1174"/>
      <c r="AG1326" s="1174"/>
      <c r="AH1326" s="1174"/>
      <c r="AI1326" s="1174"/>
      <c r="AJ1326" s="1174"/>
      <c r="AK1326" s="1174"/>
      <c r="AL1326" s="1174"/>
      <c r="AM1326" s="1174"/>
      <c r="AN1326" s="1174"/>
      <c r="AO1326" s="1174"/>
      <c r="AP1326" s="1174"/>
      <c r="AQ1326" s="1174"/>
      <c r="AR1326" s="1174"/>
      <c r="AS1326" s="1174"/>
      <c r="AT1326" s="1174"/>
      <c r="AU1326" s="1174"/>
      <c r="AV1326" s="1174"/>
      <c r="AW1326" s="1174"/>
      <c r="AX1326" s="1174"/>
      <c r="AY1326" s="1174"/>
      <c r="AZ1326" s="1174"/>
      <c r="BA1326" s="1174"/>
      <c r="BB1326" s="1174"/>
      <c r="BC1326" s="1174"/>
      <c r="BD1326" s="1174"/>
      <c r="BE1326" s="1174"/>
      <c r="BF1326" s="1174"/>
      <c r="BG1326" s="1174"/>
      <c r="BH1326" s="1174"/>
      <c r="BI1326" s="1174"/>
      <c r="BJ1326" s="1174"/>
      <c r="BK1326" s="1174"/>
      <c r="BL1326" s="1174"/>
      <c r="BM1326" s="1174"/>
      <c r="BN1326" s="1174"/>
      <c r="BO1326" s="1174"/>
      <c r="BP1326" s="1174"/>
      <c r="BQ1326" s="1174"/>
      <c r="BR1326" s="1174"/>
      <c r="BS1326" s="1174"/>
      <c r="BT1326" s="1174"/>
    </row>
    <row r="1327" spans="1:72" s="1145" customFormat="1" ht="16.350000000000001" customHeight="1" outlineLevel="2">
      <c r="A1327" s="1105"/>
      <c r="B1327" s="1154" t="s">
        <v>838</v>
      </c>
      <c r="C1327" s="1130"/>
      <c r="D1327" s="1130">
        <v>24091508000</v>
      </c>
      <c r="E1327" s="1130">
        <v>1367493000</v>
      </c>
      <c r="F1327" s="1130">
        <v>1367493000</v>
      </c>
      <c r="G1327" s="1130">
        <f>H1330</f>
        <v>1367493000</v>
      </c>
      <c r="H1327" s="1130">
        <v>1367493000</v>
      </c>
      <c r="I1327" s="1130"/>
      <c r="J1327" s="1130"/>
      <c r="K1327" s="1130"/>
      <c r="L1327" s="1143"/>
      <c r="M1327" s="1143"/>
      <c r="N1327" s="1143"/>
      <c r="O1327" s="1143"/>
      <c r="P1327" s="1143"/>
      <c r="Q1327" s="1143"/>
      <c r="R1327" s="1110"/>
      <c r="S1327" s="1144"/>
      <c r="T1327" s="1144"/>
      <c r="U1327" s="1144"/>
      <c r="V1327" s="1144"/>
      <c r="W1327" s="1144"/>
      <c r="X1327" s="1144"/>
      <c r="Y1327" s="1144"/>
      <c r="Z1327" s="1144"/>
      <c r="AA1327" s="1144"/>
      <c r="AB1327" s="1144"/>
      <c r="AC1327" s="1144"/>
      <c r="AD1327" s="1144"/>
      <c r="AE1327" s="1144"/>
      <c r="AF1327" s="1144"/>
      <c r="AG1327" s="1144"/>
      <c r="AH1327" s="1144"/>
      <c r="AI1327" s="1144"/>
      <c r="AJ1327" s="1144"/>
      <c r="AK1327" s="1144"/>
      <c r="AL1327" s="1144"/>
      <c r="AM1327" s="1144"/>
      <c r="AN1327" s="1144"/>
      <c r="AO1327" s="1144"/>
      <c r="AP1327" s="1144"/>
      <c r="AQ1327" s="1144"/>
      <c r="AR1327" s="1144"/>
      <c r="AS1327" s="1144"/>
      <c r="AT1327" s="1144"/>
      <c r="AU1327" s="1144"/>
      <c r="AV1327" s="1144"/>
      <c r="AW1327" s="1144"/>
      <c r="AX1327" s="1144"/>
      <c r="AY1327" s="1144"/>
      <c r="AZ1327" s="1144"/>
      <c r="BA1327" s="1144"/>
      <c r="BB1327" s="1144"/>
      <c r="BC1327" s="1144"/>
      <c r="BD1327" s="1144"/>
      <c r="BE1327" s="1144"/>
      <c r="BF1327" s="1144"/>
      <c r="BG1327" s="1144"/>
      <c r="BH1327" s="1144"/>
      <c r="BI1327" s="1144"/>
      <c r="BJ1327" s="1144"/>
      <c r="BK1327" s="1144"/>
      <c r="BL1327" s="1144"/>
      <c r="BM1327" s="1144"/>
      <c r="BN1327" s="1144"/>
      <c r="BO1327" s="1144"/>
      <c r="BP1327" s="1144"/>
      <c r="BQ1327" s="1144"/>
      <c r="BR1327" s="1144"/>
      <c r="BS1327" s="1144"/>
      <c r="BT1327" s="1144"/>
    </row>
    <row r="1328" spans="1:72" s="450" customFormat="1" ht="16.350000000000001" customHeight="1" outlineLevel="2">
      <c r="A1328" s="1105"/>
      <c r="B1328" s="1155" t="s">
        <v>53</v>
      </c>
      <c r="C1328" s="1130"/>
      <c r="D1328" s="1130"/>
      <c r="E1328" s="1130">
        <v>0</v>
      </c>
      <c r="F1328" s="1130">
        <v>0</v>
      </c>
      <c r="G1328" s="1130">
        <v>0</v>
      </c>
      <c r="H1328" s="1130">
        <v>0</v>
      </c>
      <c r="I1328" s="1130">
        <v>1367493000</v>
      </c>
      <c r="J1328" s="1130"/>
      <c r="K1328" s="1130"/>
      <c r="L1328" s="1134"/>
      <c r="M1328" s="1134"/>
      <c r="N1328" s="1134"/>
      <c r="O1328" s="1134"/>
      <c r="P1328" s="1134"/>
      <c r="Q1328" s="1134"/>
      <c r="R1328" s="1110"/>
      <c r="S1328" s="1135"/>
      <c r="T1328" s="1135"/>
      <c r="U1328" s="1135"/>
      <c r="V1328" s="1135"/>
      <c r="W1328" s="1135"/>
      <c r="X1328" s="1135"/>
      <c r="Y1328" s="1135"/>
      <c r="Z1328" s="1135"/>
      <c r="AA1328" s="1135"/>
      <c r="AB1328" s="1135"/>
      <c r="AC1328" s="1135"/>
      <c r="AD1328" s="1135"/>
      <c r="AE1328" s="1135"/>
      <c r="AF1328" s="1135"/>
      <c r="AG1328" s="1135"/>
      <c r="AH1328" s="1135"/>
      <c r="AI1328" s="1135"/>
      <c r="AJ1328" s="1135"/>
      <c r="AK1328" s="1135"/>
      <c r="AL1328" s="1135"/>
      <c r="AM1328" s="1135"/>
      <c r="AN1328" s="1135"/>
      <c r="AO1328" s="1135"/>
      <c r="AP1328" s="1135"/>
      <c r="AQ1328" s="1135"/>
      <c r="AR1328" s="1135"/>
      <c r="AS1328" s="1135"/>
      <c r="AT1328" s="1135"/>
      <c r="AU1328" s="1135"/>
      <c r="AV1328" s="1135"/>
      <c r="AW1328" s="1135"/>
      <c r="AX1328" s="1135"/>
      <c r="AY1328" s="1135"/>
      <c r="AZ1328" s="1135"/>
      <c r="BA1328" s="1135"/>
      <c r="BB1328" s="1135"/>
      <c r="BC1328" s="1135"/>
      <c r="BD1328" s="1135"/>
      <c r="BE1328" s="1135"/>
      <c r="BF1328" s="1135"/>
      <c r="BG1328" s="1135"/>
      <c r="BH1328" s="1135"/>
      <c r="BI1328" s="1135"/>
      <c r="BJ1328" s="1135"/>
      <c r="BK1328" s="1135"/>
      <c r="BL1328" s="1135"/>
      <c r="BM1328" s="1135"/>
      <c r="BN1328" s="1135"/>
      <c r="BO1328" s="1135"/>
      <c r="BP1328" s="1135"/>
      <c r="BQ1328" s="1135"/>
      <c r="BR1328" s="1135"/>
      <c r="BS1328" s="1135"/>
      <c r="BT1328" s="1135"/>
    </row>
    <row r="1329" spans="1:72" s="450" customFormat="1" ht="16.350000000000001" customHeight="1" outlineLevel="2">
      <c r="A1329" s="1105"/>
      <c r="B1329" s="1155" t="s">
        <v>861</v>
      </c>
      <c r="C1329" s="1130"/>
      <c r="D1329" s="1130"/>
      <c r="E1329" s="1130">
        <v>0</v>
      </c>
      <c r="F1329" s="1130">
        <v>0</v>
      </c>
      <c r="G1329" s="1130">
        <v>0</v>
      </c>
      <c r="H1329" s="1130">
        <v>0</v>
      </c>
      <c r="I1329" s="1130">
        <v>0</v>
      </c>
      <c r="J1329" s="1130"/>
      <c r="K1329" s="1130"/>
      <c r="L1329" s="1134"/>
      <c r="M1329" s="1134"/>
      <c r="N1329" s="1134"/>
      <c r="O1329" s="1134"/>
      <c r="P1329" s="1134"/>
      <c r="Q1329" s="1134"/>
      <c r="R1329" s="1110"/>
      <c r="S1329" s="1135"/>
      <c r="T1329" s="1135"/>
      <c r="U1329" s="1135"/>
      <c r="V1329" s="1135"/>
      <c r="W1329" s="1135"/>
      <c r="X1329" s="1135"/>
      <c r="Y1329" s="1135"/>
      <c r="Z1329" s="1135"/>
      <c r="AA1329" s="1135"/>
      <c r="AB1329" s="1135"/>
      <c r="AC1329" s="1135"/>
      <c r="AD1329" s="1135"/>
      <c r="AE1329" s="1135"/>
      <c r="AF1329" s="1135"/>
      <c r="AG1329" s="1135"/>
      <c r="AH1329" s="1135"/>
      <c r="AI1329" s="1135"/>
      <c r="AJ1329" s="1135"/>
      <c r="AK1329" s="1135"/>
      <c r="AL1329" s="1135"/>
      <c r="AM1329" s="1135"/>
      <c r="AN1329" s="1135"/>
      <c r="AO1329" s="1135"/>
      <c r="AP1329" s="1135"/>
      <c r="AQ1329" s="1135"/>
      <c r="AR1329" s="1135"/>
      <c r="AS1329" s="1135"/>
      <c r="AT1329" s="1135"/>
      <c r="AU1329" s="1135"/>
      <c r="AV1329" s="1135"/>
      <c r="AW1329" s="1135"/>
      <c r="AX1329" s="1135"/>
      <c r="AY1329" s="1135"/>
      <c r="AZ1329" s="1135"/>
      <c r="BA1329" s="1135"/>
      <c r="BB1329" s="1135"/>
      <c r="BC1329" s="1135"/>
      <c r="BD1329" s="1135"/>
      <c r="BE1329" s="1135"/>
      <c r="BF1329" s="1135"/>
      <c r="BG1329" s="1135"/>
      <c r="BH1329" s="1135"/>
      <c r="BI1329" s="1135"/>
      <c r="BJ1329" s="1135"/>
      <c r="BK1329" s="1135"/>
      <c r="BL1329" s="1135"/>
      <c r="BM1329" s="1135"/>
      <c r="BN1329" s="1135"/>
      <c r="BO1329" s="1135"/>
      <c r="BP1329" s="1135"/>
      <c r="BQ1329" s="1135"/>
      <c r="BR1329" s="1135"/>
      <c r="BS1329" s="1135"/>
      <c r="BT1329" s="1135"/>
    </row>
    <row r="1330" spans="1:72" s="1145" customFormat="1" ht="16.350000000000001" customHeight="1" outlineLevel="2">
      <c r="A1330" s="1105"/>
      <c r="B1330" s="1154" t="s">
        <v>842</v>
      </c>
      <c r="C1330" s="1130"/>
      <c r="D1330" s="1130">
        <v>24091508000</v>
      </c>
      <c r="E1330" s="1130">
        <v>1367493000</v>
      </c>
      <c r="F1330" s="1130">
        <v>1367493000</v>
      </c>
      <c r="G1330" s="1130">
        <f>G1327+G1328+G1329</f>
        <v>1367493000</v>
      </c>
      <c r="H1330" s="1130">
        <f>H1327+H1328+H1329</f>
        <v>1367493000</v>
      </c>
      <c r="I1330" s="1130">
        <f>I1327+I1328+I1329</f>
        <v>1367493000</v>
      </c>
      <c r="J1330" s="1130"/>
      <c r="K1330" s="1130"/>
      <c r="L1330" s="1143"/>
      <c r="M1330" s="1143"/>
      <c r="N1330" s="1143"/>
      <c r="O1330" s="1143"/>
      <c r="P1330" s="1143"/>
      <c r="Q1330" s="1143"/>
      <c r="R1330" s="1110"/>
      <c r="S1330" s="1144"/>
      <c r="T1330" s="1144"/>
      <c r="U1330" s="1144"/>
      <c r="V1330" s="1144"/>
      <c r="W1330" s="1144"/>
      <c r="X1330" s="1144"/>
      <c r="Y1330" s="1144"/>
      <c r="Z1330" s="1144"/>
      <c r="AA1330" s="1144"/>
      <c r="AB1330" s="1144"/>
      <c r="AC1330" s="1144"/>
      <c r="AD1330" s="1144"/>
      <c r="AE1330" s="1144"/>
      <c r="AF1330" s="1144"/>
      <c r="AG1330" s="1144"/>
      <c r="AH1330" s="1144"/>
      <c r="AI1330" s="1144"/>
      <c r="AJ1330" s="1144"/>
      <c r="AK1330" s="1144"/>
      <c r="AL1330" s="1144"/>
      <c r="AM1330" s="1144"/>
      <c r="AN1330" s="1144"/>
      <c r="AO1330" s="1144"/>
      <c r="AP1330" s="1144"/>
      <c r="AQ1330" s="1144"/>
      <c r="AR1330" s="1144"/>
      <c r="AS1330" s="1144"/>
      <c r="AT1330" s="1144"/>
      <c r="AU1330" s="1144"/>
      <c r="AV1330" s="1144"/>
      <c r="AW1330" s="1144"/>
      <c r="AX1330" s="1144"/>
      <c r="AY1330" s="1144"/>
      <c r="AZ1330" s="1144"/>
      <c r="BA1330" s="1144"/>
      <c r="BB1330" s="1144"/>
      <c r="BC1330" s="1144"/>
      <c r="BD1330" s="1144"/>
      <c r="BE1330" s="1144"/>
      <c r="BF1330" s="1144"/>
      <c r="BG1330" s="1144"/>
      <c r="BH1330" s="1144"/>
      <c r="BI1330" s="1144"/>
      <c r="BJ1330" s="1144"/>
      <c r="BK1330" s="1144"/>
      <c r="BL1330" s="1144"/>
      <c r="BM1330" s="1144"/>
      <c r="BN1330" s="1144"/>
      <c r="BO1330" s="1144"/>
      <c r="BP1330" s="1144"/>
      <c r="BQ1330" s="1144"/>
      <c r="BR1330" s="1144"/>
      <c r="BS1330" s="1144"/>
      <c r="BT1330" s="1144"/>
    </row>
    <row r="1331" spans="1:72" s="290" customFormat="1" ht="16.350000000000001" customHeight="1" outlineLevel="1">
      <c r="A1331" s="1105"/>
      <c r="B1331" s="1158" t="s">
        <v>862</v>
      </c>
      <c r="C1331" s="1176"/>
      <c r="D1331" s="1176">
        <v>150552000</v>
      </c>
      <c r="E1331" s="1176">
        <v>350645000</v>
      </c>
      <c r="F1331" s="1176">
        <v>49999000</v>
      </c>
      <c r="G1331" s="1176">
        <v>134999000</v>
      </c>
      <c r="H1331" s="1176">
        <v>97499000</v>
      </c>
      <c r="I1331" s="1176">
        <v>70313000</v>
      </c>
      <c r="J1331" s="1176">
        <v>189232000</v>
      </c>
      <c r="K1331" s="1176">
        <v>405833000</v>
      </c>
      <c r="L1331" s="1159"/>
      <c r="M1331" s="1159"/>
      <c r="N1331" s="1159"/>
      <c r="O1331" s="1159"/>
      <c r="P1331" s="1159"/>
      <c r="Q1331" s="1159"/>
      <c r="R1331" s="1110"/>
      <c r="S1331" s="1160"/>
      <c r="T1331" s="1160"/>
      <c r="U1331" s="1160"/>
      <c r="V1331" s="1160"/>
      <c r="W1331" s="1160"/>
      <c r="X1331" s="1160"/>
      <c r="Y1331" s="1160"/>
      <c r="Z1331" s="1160"/>
      <c r="AA1331" s="1160"/>
      <c r="AB1331" s="1160"/>
      <c r="AC1331" s="1160"/>
      <c r="AD1331" s="1160"/>
      <c r="AE1331" s="1160"/>
      <c r="AF1331" s="1160"/>
      <c r="AG1331" s="1160"/>
      <c r="AH1331" s="1160"/>
      <c r="AI1331" s="1160"/>
      <c r="AJ1331" s="1160"/>
      <c r="AK1331" s="1160"/>
      <c r="AL1331" s="1160"/>
      <c r="AM1331" s="1160"/>
      <c r="AN1331" s="1160"/>
      <c r="AO1331" s="1160"/>
      <c r="AP1331" s="1160"/>
      <c r="AQ1331" s="1160"/>
      <c r="AR1331" s="1160"/>
      <c r="AS1331" s="1160"/>
      <c r="AT1331" s="1160"/>
      <c r="AU1331" s="1160"/>
      <c r="AV1331" s="1160"/>
      <c r="AW1331" s="1160"/>
      <c r="AX1331" s="1160"/>
      <c r="AY1331" s="1160"/>
      <c r="AZ1331" s="1160"/>
      <c r="BA1331" s="1160"/>
      <c r="BB1331" s="1160"/>
      <c r="BC1331" s="1160"/>
      <c r="BD1331" s="1160"/>
      <c r="BE1331" s="1160"/>
      <c r="BF1331" s="1160"/>
      <c r="BG1331" s="1160"/>
      <c r="BH1331" s="1160"/>
      <c r="BI1331" s="1160"/>
      <c r="BJ1331" s="1160"/>
      <c r="BK1331" s="1160"/>
      <c r="BL1331" s="1160"/>
      <c r="BM1331" s="1160"/>
      <c r="BN1331" s="1160"/>
      <c r="BO1331" s="1160"/>
      <c r="BP1331" s="1160"/>
      <c r="BQ1331" s="1160"/>
      <c r="BR1331" s="1160"/>
      <c r="BS1331" s="1160"/>
      <c r="BT1331" s="1160"/>
    </row>
    <row r="1332" spans="1:72" s="290" customFormat="1" ht="16.350000000000001" customHeight="1" outlineLevel="1">
      <c r="A1332" s="1105"/>
      <c r="B1332" s="1121" t="s">
        <v>168</v>
      </c>
      <c r="C1332" s="1172"/>
      <c r="D1332" s="960">
        <v>2687401000</v>
      </c>
      <c r="E1332" s="960">
        <v>0</v>
      </c>
      <c r="F1332" s="960"/>
      <c r="G1332" s="960"/>
      <c r="H1332" s="960"/>
      <c r="I1332" s="960"/>
      <c r="J1332" s="960"/>
      <c r="K1332" s="960"/>
      <c r="L1332" s="1159"/>
      <c r="M1332" s="1159"/>
      <c r="N1332" s="1159"/>
      <c r="O1332" s="1159"/>
      <c r="P1332" s="1159"/>
      <c r="Q1332" s="1159"/>
      <c r="R1332" s="1110"/>
      <c r="S1332" s="1160"/>
      <c r="T1332" s="1160"/>
      <c r="U1332" s="1160"/>
      <c r="V1332" s="1160"/>
      <c r="W1332" s="1160"/>
      <c r="X1332" s="1160"/>
      <c r="Y1332" s="1160"/>
      <c r="Z1332" s="1160"/>
      <c r="AA1332" s="1160"/>
      <c r="AB1332" s="1160"/>
      <c r="AC1332" s="1160"/>
      <c r="AD1332" s="1160"/>
      <c r="AE1332" s="1160"/>
      <c r="AF1332" s="1160"/>
      <c r="AG1332" s="1160"/>
      <c r="AH1332" s="1160"/>
      <c r="AI1332" s="1160"/>
      <c r="AJ1332" s="1160"/>
      <c r="AK1332" s="1160"/>
      <c r="AL1332" s="1160"/>
      <c r="AM1332" s="1160"/>
      <c r="AN1332" s="1160"/>
      <c r="AO1332" s="1160"/>
      <c r="AP1332" s="1160"/>
      <c r="AQ1332" s="1160"/>
      <c r="AR1332" s="1160"/>
      <c r="AS1332" s="1160"/>
      <c r="AT1332" s="1160"/>
      <c r="AU1332" s="1160"/>
      <c r="AV1332" s="1160"/>
      <c r="AW1332" s="1160"/>
      <c r="AX1332" s="1160"/>
      <c r="AY1332" s="1160"/>
      <c r="AZ1332" s="1160"/>
      <c r="BA1332" s="1160"/>
      <c r="BB1332" s="1160"/>
      <c r="BC1332" s="1160"/>
      <c r="BD1332" s="1160"/>
      <c r="BE1332" s="1160"/>
      <c r="BF1332" s="1160"/>
      <c r="BG1332" s="1160"/>
      <c r="BH1332" s="1160"/>
      <c r="BI1332" s="1160"/>
      <c r="BJ1332" s="1160"/>
      <c r="BK1332" s="1160"/>
      <c r="BL1332" s="1160"/>
      <c r="BM1332" s="1160"/>
      <c r="BN1332" s="1160"/>
      <c r="BO1332" s="1160"/>
      <c r="BP1332" s="1160"/>
      <c r="BQ1332" s="1160"/>
      <c r="BR1332" s="1160"/>
      <c r="BS1332" s="1160"/>
      <c r="BT1332" s="1160"/>
    </row>
    <row r="1333" spans="1:72" s="290" customFormat="1" ht="16.350000000000001" customHeight="1" outlineLevel="1">
      <c r="A1333" s="1105"/>
      <c r="B1333" s="1154" t="s">
        <v>94</v>
      </c>
      <c r="C1333" s="1130"/>
      <c r="D1333" s="960">
        <v>-37765000</v>
      </c>
      <c r="E1333" s="960"/>
      <c r="F1333" s="960"/>
      <c r="G1333" s="960"/>
      <c r="H1333" s="960"/>
      <c r="I1333" s="960"/>
      <c r="J1333" s="960"/>
      <c r="K1333" s="960"/>
      <c r="L1333" s="1159"/>
      <c r="M1333" s="1159"/>
      <c r="N1333" s="1159"/>
      <c r="O1333" s="1159"/>
      <c r="P1333" s="1159"/>
      <c r="Q1333" s="1159"/>
      <c r="R1333" s="1110"/>
      <c r="S1333" s="1160"/>
      <c r="T1333" s="1160"/>
      <c r="U1333" s="1160"/>
      <c r="V1333" s="1160"/>
      <c r="W1333" s="1160"/>
      <c r="X1333" s="1160"/>
      <c r="Y1333" s="1160"/>
      <c r="Z1333" s="1160"/>
      <c r="AA1333" s="1160"/>
      <c r="AB1333" s="1160"/>
      <c r="AC1333" s="1160"/>
      <c r="AD1333" s="1160"/>
      <c r="AE1333" s="1160"/>
      <c r="AF1333" s="1160"/>
      <c r="AG1333" s="1160"/>
      <c r="AH1333" s="1160"/>
      <c r="AI1333" s="1160"/>
      <c r="AJ1333" s="1160"/>
      <c r="AK1333" s="1160"/>
      <c r="AL1333" s="1160"/>
      <c r="AM1333" s="1160"/>
      <c r="AN1333" s="1160"/>
      <c r="AO1333" s="1160"/>
      <c r="AP1333" s="1160"/>
      <c r="AQ1333" s="1160"/>
      <c r="AR1333" s="1160"/>
      <c r="AS1333" s="1160"/>
      <c r="AT1333" s="1160"/>
      <c r="AU1333" s="1160"/>
      <c r="AV1333" s="1160"/>
      <c r="AW1333" s="1160"/>
      <c r="AX1333" s="1160"/>
      <c r="AY1333" s="1160"/>
      <c r="AZ1333" s="1160"/>
      <c r="BA1333" s="1160"/>
      <c r="BB1333" s="1160"/>
      <c r="BC1333" s="1160"/>
      <c r="BD1333" s="1160"/>
      <c r="BE1333" s="1160"/>
      <c r="BF1333" s="1160"/>
      <c r="BG1333" s="1160"/>
      <c r="BH1333" s="1160"/>
      <c r="BI1333" s="1160"/>
      <c r="BJ1333" s="1160"/>
      <c r="BK1333" s="1160"/>
      <c r="BL1333" s="1160"/>
      <c r="BM1333" s="1160"/>
      <c r="BN1333" s="1160"/>
      <c r="BO1333" s="1160"/>
      <c r="BP1333" s="1160"/>
      <c r="BQ1333" s="1160"/>
      <c r="BR1333" s="1160"/>
      <c r="BS1333" s="1160"/>
      <c r="BT1333" s="1160"/>
    </row>
    <row r="1334" spans="1:72" s="290" customFormat="1" ht="16.350000000000001" customHeight="1" outlineLevel="1">
      <c r="A1334" s="1105"/>
      <c r="B1334" s="1154" t="s">
        <v>863</v>
      </c>
      <c r="C1334" s="1130"/>
      <c r="D1334" s="960">
        <v>-2649636000</v>
      </c>
      <c r="E1334" s="960"/>
      <c r="F1334" s="960"/>
      <c r="G1334" s="960"/>
      <c r="H1334" s="960"/>
      <c r="I1334" s="960"/>
      <c r="J1334" s="960"/>
      <c r="K1334" s="960"/>
      <c r="L1334" s="1159"/>
      <c r="M1334" s="1159"/>
      <c r="N1334" s="1159"/>
      <c r="O1334" s="1159"/>
      <c r="P1334" s="1159"/>
      <c r="Q1334" s="1159"/>
      <c r="R1334" s="1110"/>
      <c r="S1334" s="1160"/>
      <c r="T1334" s="1160"/>
      <c r="U1334" s="1160"/>
      <c r="V1334" s="1160"/>
      <c r="W1334" s="1160"/>
      <c r="X1334" s="1160"/>
      <c r="Y1334" s="1160"/>
      <c r="Z1334" s="1160"/>
      <c r="AA1334" s="1160"/>
      <c r="AB1334" s="1160"/>
      <c r="AC1334" s="1160"/>
      <c r="AD1334" s="1160"/>
      <c r="AE1334" s="1160"/>
      <c r="AF1334" s="1160"/>
      <c r="AG1334" s="1160"/>
      <c r="AH1334" s="1160"/>
      <c r="AI1334" s="1160"/>
      <c r="AJ1334" s="1160"/>
      <c r="AK1334" s="1160"/>
      <c r="AL1334" s="1160"/>
      <c r="AM1334" s="1160"/>
      <c r="AN1334" s="1160"/>
      <c r="AO1334" s="1160"/>
      <c r="AP1334" s="1160"/>
      <c r="AQ1334" s="1160"/>
      <c r="AR1334" s="1160"/>
      <c r="AS1334" s="1160"/>
      <c r="AT1334" s="1160"/>
      <c r="AU1334" s="1160"/>
      <c r="AV1334" s="1160"/>
      <c r="AW1334" s="1160"/>
      <c r="AX1334" s="1160"/>
      <c r="AY1334" s="1160"/>
      <c r="AZ1334" s="1160"/>
      <c r="BA1334" s="1160"/>
      <c r="BB1334" s="1160"/>
      <c r="BC1334" s="1160"/>
      <c r="BD1334" s="1160"/>
      <c r="BE1334" s="1160"/>
      <c r="BF1334" s="1160"/>
      <c r="BG1334" s="1160"/>
      <c r="BH1334" s="1160"/>
      <c r="BI1334" s="1160"/>
      <c r="BJ1334" s="1160"/>
      <c r="BK1334" s="1160"/>
      <c r="BL1334" s="1160"/>
      <c r="BM1334" s="1160"/>
      <c r="BN1334" s="1160"/>
      <c r="BO1334" s="1160"/>
      <c r="BP1334" s="1160"/>
      <c r="BQ1334" s="1160"/>
      <c r="BR1334" s="1160"/>
      <c r="BS1334" s="1160"/>
      <c r="BT1334" s="1160"/>
    </row>
    <row r="1335" spans="1:72" s="266" customFormat="1" ht="16.350000000000001" customHeight="1" outlineLevel="1">
      <c r="A1335" s="1105"/>
      <c r="B1335" s="1177" t="s">
        <v>864</v>
      </c>
      <c r="C1335" s="1178"/>
      <c r="D1335" s="1178">
        <v>382899536000</v>
      </c>
      <c r="E1335" s="1178">
        <v>336786023000</v>
      </c>
      <c r="F1335" s="1178">
        <f>F1119+F1216+F1217+F1236+F1326+F1331</f>
        <v>296025929000</v>
      </c>
      <c r="G1335" s="1178">
        <f>G1119+G1216+G1217+G1236+G1326+G1331</f>
        <v>272376724000</v>
      </c>
      <c r="H1335" s="1179">
        <f>H1119+H1216+H1217+H1236+H1326+H1331</f>
        <v>239012616000</v>
      </c>
      <c r="I1335" s="1179">
        <f>I1119+I1216+I1217+I1236+I1326+I1331</f>
        <v>200920653000</v>
      </c>
      <c r="J1335" s="1179">
        <f>J1119+J1216+J1217+J1236+J1326+J1331</f>
        <v>162701254000</v>
      </c>
      <c r="K1335" s="1179">
        <f>(K1119+K1216+K1217+K1236+K1326+K1331)+2000</f>
        <v>126107716000</v>
      </c>
      <c r="L1335" s="1180"/>
      <c r="M1335" s="1180"/>
      <c r="N1335" s="1180"/>
      <c r="O1335" s="1180"/>
      <c r="P1335" s="1180"/>
      <c r="Q1335" s="1180"/>
      <c r="R1335" s="1110"/>
    </row>
    <row r="1336" spans="1:72" s="1125" customFormat="1" ht="16.350000000000001" customHeight="1" outlineLevel="1">
      <c r="A1336" s="1105"/>
      <c r="B1336" s="1126"/>
      <c r="C1336" s="1122"/>
      <c r="D1336" s="1122"/>
      <c r="E1336" s="1122"/>
      <c r="F1336" s="1122"/>
      <c r="G1336" s="1122"/>
      <c r="H1336" s="1122"/>
      <c r="I1336" s="1122"/>
      <c r="J1336" s="1122"/>
      <c r="K1336" s="1122"/>
      <c r="L1336" s="1123"/>
      <c r="M1336" s="1123"/>
      <c r="N1336" s="1123"/>
      <c r="O1336" s="1123"/>
      <c r="P1336" s="1123"/>
      <c r="Q1336" s="1123"/>
      <c r="R1336" s="1110"/>
      <c r="S1336" s="1124"/>
      <c r="T1336" s="1124"/>
      <c r="U1336" s="1124"/>
      <c r="V1336" s="1124"/>
      <c r="W1336" s="1124"/>
      <c r="X1336" s="1124"/>
      <c r="Y1336" s="1124"/>
      <c r="Z1336" s="1124"/>
      <c r="AA1336" s="1124"/>
      <c r="AB1336" s="1124"/>
      <c r="AC1336" s="1124"/>
      <c r="AD1336" s="1124"/>
      <c r="AE1336" s="1124"/>
      <c r="AF1336" s="1124"/>
      <c r="AG1336" s="1124"/>
      <c r="AH1336" s="1124"/>
      <c r="AI1336" s="1124"/>
      <c r="AJ1336" s="1124"/>
      <c r="AK1336" s="1124"/>
      <c r="AL1336" s="1124"/>
      <c r="AM1336" s="1124"/>
      <c r="AN1336" s="1124"/>
      <c r="AO1336" s="1124"/>
      <c r="AP1336" s="1124"/>
      <c r="AQ1336" s="1124"/>
      <c r="AR1336" s="1124"/>
      <c r="AS1336" s="1124"/>
      <c r="AT1336" s="1124"/>
      <c r="AU1336" s="1124"/>
      <c r="AV1336" s="1124"/>
      <c r="AW1336" s="1124"/>
      <c r="AX1336" s="1124"/>
      <c r="AY1336" s="1124"/>
      <c r="AZ1336" s="1124"/>
      <c r="BA1336" s="1124"/>
      <c r="BB1336" s="1124"/>
      <c r="BC1336" s="1124"/>
      <c r="BD1336" s="1124"/>
      <c r="BE1336" s="1124"/>
      <c r="BF1336" s="1124"/>
      <c r="BG1336" s="1124"/>
      <c r="BH1336" s="1124"/>
      <c r="BI1336" s="1124"/>
      <c r="BJ1336" s="1124"/>
      <c r="BK1336" s="1124"/>
      <c r="BL1336" s="1124"/>
      <c r="BM1336" s="1124"/>
      <c r="BN1336" s="1124"/>
      <c r="BO1336" s="1124"/>
      <c r="BP1336" s="1124"/>
      <c r="BQ1336" s="1124"/>
      <c r="BR1336" s="1124"/>
      <c r="BS1336" s="1124"/>
      <c r="BT1336" s="1124"/>
    </row>
    <row r="1337" spans="1:72" s="419" customFormat="1" ht="16.350000000000001" customHeight="1" outlineLevel="1">
      <c r="A1337" s="1105"/>
      <c r="B1337" s="1116" t="s">
        <v>865</v>
      </c>
      <c r="C1337" s="1122"/>
      <c r="D1337" s="1122"/>
      <c r="E1337" s="1122"/>
      <c r="F1337" s="1122"/>
      <c r="G1337" s="1122"/>
      <c r="H1337" s="1118"/>
      <c r="I1337" s="1119"/>
      <c r="J1337" s="1119"/>
      <c r="K1337" s="1118"/>
      <c r="L1337" s="1118"/>
      <c r="M1337" s="1118"/>
      <c r="N1337" s="1118"/>
      <c r="O1337" s="1118"/>
      <c r="P1337" s="1118"/>
      <c r="Q1337" s="1118"/>
      <c r="R1337" s="1110"/>
      <c r="S1337" s="1120"/>
      <c r="T1337" s="1120"/>
      <c r="U1337" s="1120"/>
      <c r="V1337" s="1120"/>
      <c r="W1337" s="1120"/>
      <c r="X1337" s="1120"/>
      <c r="Y1337" s="1120"/>
      <c r="Z1337" s="1120"/>
      <c r="AA1337" s="1120"/>
      <c r="AB1337" s="1120"/>
      <c r="AC1337" s="1120"/>
      <c r="AD1337" s="1120"/>
      <c r="AE1337" s="1120"/>
      <c r="AF1337" s="1120"/>
      <c r="AG1337" s="1120"/>
      <c r="AH1337" s="1120"/>
      <c r="AI1337" s="1120"/>
      <c r="AJ1337" s="1120"/>
      <c r="AK1337" s="1120"/>
      <c r="AL1337" s="1120"/>
      <c r="AM1337" s="1120"/>
      <c r="AN1337" s="1120"/>
      <c r="AO1337" s="1120"/>
      <c r="AP1337" s="1120"/>
      <c r="AQ1337" s="1120"/>
      <c r="AR1337" s="1120"/>
      <c r="AS1337" s="1120"/>
      <c r="AT1337" s="1120"/>
      <c r="AU1337" s="1120"/>
      <c r="AV1337" s="1120"/>
      <c r="AW1337" s="1120"/>
      <c r="AX1337" s="1120"/>
      <c r="AY1337" s="1120"/>
      <c r="AZ1337" s="1120"/>
      <c r="BA1337" s="1120"/>
      <c r="BB1337" s="1120"/>
      <c r="BC1337" s="1120"/>
      <c r="BD1337" s="1120"/>
      <c r="BE1337" s="1120"/>
      <c r="BF1337" s="1120"/>
      <c r="BG1337" s="1120"/>
    </row>
    <row r="1338" spans="1:72" s="1125" customFormat="1" ht="16.350000000000001" customHeight="1" outlineLevel="1">
      <c r="A1338" s="1105"/>
      <c r="B1338" s="1121" t="s">
        <v>866</v>
      </c>
      <c r="C1338" s="1122"/>
      <c r="D1338" s="1122">
        <v>187778882000</v>
      </c>
      <c r="E1338" s="1122">
        <v>162204502000</v>
      </c>
      <c r="F1338" s="1122">
        <v>134915708000</v>
      </c>
      <c r="G1338" s="1122">
        <f>G1339+G1340</f>
        <v>116471588000</v>
      </c>
      <c r="H1338" s="1122">
        <f>H1339+H1340</f>
        <v>81475660000</v>
      </c>
      <c r="I1338" s="1122">
        <f>I1339+I1340</f>
        <v>56095409000</v>
      </c>
      <c r="J1338" s="1122">
        <f>J1339+J1340</f>
        <v>41025623000</v>
      </c>
      <c r="K1338" s="1122">
        <f>K1339+K1340</f>
        <v>29144384000</v>
      </c>
      <c r="L1338" s="1123"/>
      <c r="M1338" s="1123"/>
      <c r="N1338" s="1123"/>
      <c r="O1338" s="1123"/>
      <c r="P1338" s="1123"/>
      <c r="Q1338" s="1123"/>
      <c r="R1338" s="1110"/>
      <c r="S1338" s="1124"/>
      <c r="T1338" s="1124"/>
      <c r="U1338" s="1124"/>
      <c r="V1338" s="1124"/>
      <c r="W1338" s="1124"/>
      <c r="X1338" s="1124"/>
      <c r="Y1338" s="1124"/>
      <c r="Z1338" s="1124"/>
      <c r="AA1338" s="1124"/>
      <c r="AB1338" s="1124"/>
      <c r="AC1338" s="1124"/>
      <c r="AD1338" s="1124"/>
      <c r="AE1338" s="1124"/>
      <c r="AF1338" s="1124"/>
      <c r="AG1338" s="1124"/>
      <c r="AH1338" s="1124"/>
      <c r="AI1338" s="1124"/>
      <c r="AJ1338" s="1124"/>
      <c r="AK1338" s="1124"/>
      <c r="AL1338" s="1124"/>
      <c r="AM1338" s="1124"/>
      <c r="AN1338" s="1124"/>
      <c r="AO1338" s="1124"/>
      <c r="AP1338" s="1124"/>
      <c r="AQ1338" s="1124"/>
      <c r="AR1338" s="1124"/>
      <c r="AS1338" s="1124"/>
      <c r="AT1338" s="1124"/>
      <c r="AU1338" s="1124"/>
      <c r="AV1338" s="1124"/>
      <c r="AW1338" s="1124"/>
      <c r="AX1338" s="1124"/>
      <c r="AY1338" s="1124"/>
      <c r="AZ1338" s="1124"/>
      <c r="BA1338" s="1124"/>
      <c r="BB1338" s="1124"/>
      <c r="BC1338" s="1124"/>
      <c r="BD1338" s="1124"/>
      <c r="BE1338" s="1124"/>
      <c r="BF1338" s="1124"/>
      <c r="BG1338" s="1124"/>
      <c r="BH1338" s="1124"/>
      <c r="BI1338" s="1124"/>
      <c r="BJ1338" s="1124"/>
      <c r="BK1338" s="1124"/>
      <c r="BL1338" s="1124"/>
      <c r="BM1338" s="1124"/>
      <c r="BN1338" s="1124"/>
      <c r="BO1338" s="1124"/>
      <c r="BP1338" s="1124"/>
      <c r="BQ1338" s="1124"/>
      <c r="BR1338" s="1124"/>
      <c r="BS1338" s="1124"/>
      <c r="BT1338" s="1124"/>
    </row>
    <row r="1339" spans="1:72" s="290" customFormat="1" ht="16.350000000000001" customHeight="1" outlineLevel="2" collapsed="1">
      <c r="A1339" s="1105"/>
      <c r="B1339" s="1181" t="s">
        <v>867</v>
      </c>
      <c r="C1339" s="1122"/>
      <c r="D1339" s="1122">
        <v>178092712000</v>
      </c>
      <c r="E1339" s="1122">
        <v>151723919000</v>
      </c>
      <c r="F1339" s="1122">
        <v>125973938000</v>
      </c>
      <c r="G1339" s="1127">
        <v>109720414000</v>
      </c>
      <c r="H1339" s="1127">
        <v>76903246000</v>
      </c>
      <c r="I1339" s="1127">
        <v>53273336000</v>
      </c>
      <c r="J1339" s="1127">
        <v>39082277000</v>
      </c>
      <c r="K1339" s="1127">
        <v>27589624000</v>
      </c>
      <c r="L1339" s="1182"/>
      <c r="M1339" s="1182"/>
      <c r="N1339" s="1182"/>
      <c r="O1339" s="1182"/>
      <c r="P1339" s="1182"/>
      <c r="Q1339" s="1182"/>
      <c r="R1339" s="1110"/>
      <c r="S1339" s="1160"/>
      <c r="T1339" s="1160"/>
      <c r="U1339" s="1160"/>
      <c r="V1339" s="1160"/>
      <c r="W1339" s="1160"/>
      <c r="X1339" s="1160"/>
      <c r="Y1339" s="1160"/>
      <c r="Z1339" s="1160"/>
      <c r="AA1339" s="1160"/>
      <c r="AB1339" s="1160"/>
      <c r="AC1339" s="1160"/>
      <c r="AD1339" s="1160"/>
      <c r="AE1339" s="1160"/>
      <c r="AF1339" s="1160"/>
      <c r="AG1339" s="1160"/>
      <c r="AH1339" s="1160"/>
      <c r="AI1339" s="1160"/>
      <c r="AJ1339" s="1160"/>
      <c r="AK1339" s="1160"/>
      <c r="AL1339" s="1160"/>
      <c r="AM1339" s="1160"/>
      <c r="AN1339" s="1160"/>
      <c r="AO1339" s="1160"/>
      <c r="AP1339" s="1160"/>
      <c r="AQ1339" s="1160"/>
      <c r="AR1339" s="1160"/>
      <c r="AS1339" s="1160"/>
      <c r="AT1339" s="1160"/>
      <c r="AU1339" s="1160"/>
      <c r="AV1339" s="1160"/>
      <c r="AW1339" s="1160"/>
      <c r="AX1339" s="1160"/>
      <c r="AY1339" s="1160"/>
      <c r="AZ1339" s="1160"/>
      <c r="BA1339" s="1160"/>
      <c r="BB1339" s="1160"/>
      <c r="BC1339" s="1160"/>
      <c r="BD1339" s="1160"/>
      <c r="BE1339" s="1160"/>
      <c r="BF1339" s="1160"/>
      <c r="BG1339" s="1160"/>
      <c r="BH1339" s="1160"/>
      <c r="BI1339" s="1160"/>
      <c r="BJ1339" s="1160"/>
      <c r="BK1339" s="1160"/>
      <c r="BL1339" s="1160"/>
      <c r="BM1339" s="1160"/>
      <c r="BN1339" s="1160"/>
      <c r="BO1339" s="1160"/>
      <c r="BP1339" s="1160"/>
      <c r="BQ1339" s="1160"/>
      <c r="BR1339" s="1160"/>
      <c r="BS1339" s="1160"/>
      <c r="BT1339" s="1160"/>
    </row>
    <row r="1340" spans="1:72" s="290" customFormat="1" ht="16.350000000000001" customHeight="1" outlineLevel="2" collapsed="1">
      <c r="A1340" s="1105"/>
      <c r="B1340" s="1181" t="s">
        <v>868</v>
      </c>
      <c r="C1340" s="1122"/>
      <c r="D1340" s="1122">
        <v>9686170000</v>
      </c>
      <c r="E1340" s="1122">
        <v>10480583000</v>
      </c>
      <c r="F1340" s="1122">
        <v>8941770000</v>
      </c>
      <c r="G1340" s="1127">
        <v>6751174000</v>
      </c>
      <c r="H1340" s="1127">
        <v>4572414000</v>
      </c>
      <c r="I1340" s="1127">
        <v>2822073000</v>
      </c>
      <c r="J1340" s="1127">
        <v>1943346000</v>
      </c>
      <c r="K1340" s="1127">
        <v>1554760000</v>
      </c>
      <c r="L1340" s="1182"/>
      <c r="M1340" s="1182"/>
      <c r="N1340" s="1182"/>
      <c r="O1340" s="1182"/>
      <c r="P1340" s="1182"/>
      <c r="Q1340" s="1182"/>
      <c r="R1340" s="1110"/>
      <c r="S1340" s="1160"/>
      <c r="T1340" s="1160"/>
      <c r="U1340" s="1160"/>
      <c r="V1340" s="1160"/>
      <c r="W1340" s="1160"/>
      <c r="X1340" s="1160"/>
      <c r="Y1340" s="1160"/>
      <c r="Z1340" s="1160"/>
      <c r="AA1340" s="1160"/>
      <c r="AB1340" s="1160"/>
      <c r="AC1340" s="1160"/>
      <c r="AD1340" s="1160"/>
      <c r="AE1340" s="1160"/>
      <c r="AF1340" s="1160"/>
      <c r="AG1340" s="1160"/>
      <c r="AH1340" s="1160"/>
      <c r="AI1340" s="1160"/>
      <c r="AJ1340" s="1160"/>
      <c r="AK1340" s="1160"/>
      <c r="AL1340" s="1160"/>
      <c r="AM1340" s="1160"/>
      <c r="AN1340" s="1160"/>
      <c r="AO1340" s="1160"/>
      <c r="AP1340" s="1160"/>
      <c r="AQ1340" s="1160"/>
      <c r="AR1340" s="1160"/>
      <c r="AS1340" s="1160"/>
      <c r="AT1340" s="1160"/>
      <c r="AU1340" s="1160"/>
      <c r="AV1340" s="1160"/>
      <c r="AW1340" s="1160"/>
      <c r="AX1340" s="1160"/>
      <c r="AY1340" s="1160"/>
      <c r="AZ1340" s="1160"/>
      <c r="BA1340" s="1160"/>
      <c r="BB1340" s="1160"/>
      <c r="BC1340" s="1160"/>
      <c r="BD1340" s="1160"/>
      <c r="BE1340" s="1160"/>
      <c r="BF1340" s="1160"/>
      <c r="BG1340" s="1160"/>
      <c r="BH1340" s="1160"/>
      <c r="BI1340" s="1160"/>
      <c r="BJ1340" s="1160"/>
      <c r="BK1340" s="1160"/>
      <c r="BL1340" s="1160"/>
      <c r="BM1340" s="1160"/>
      <c r="BN1340" s="1160"/>
      <c r="BO1340" s="1160"/>
      <c r="BP1340" s="1160"/>
      <c r="BQ1340" s="1160"/>
      <c r="BR1340" s="1160"/>
      <c r="BS1340" s="1160"/>
      <c r="BT1340" s="1160"/>
    </row>
    <row r="1341" spans="1:72" s="290" customFormat="1" ht="16.350000000000001" customHeight="1" outlineLevel="1">
      <c r="A1341" s="1105"/>
      <c r="B1341" s="1121" t="s">
        <v>869</v>
      </c>
      <c r="C1341" s="1122"/>
      <c r="D1341" s="1159">
        <v>6961003000</v>
      </c>
      <c r="E1341" s="1159">
        <v>1399186000</v>
      </c>
      <c r="F1341" s="1159">
        <v>844122000</v>
      </c>
      <c r="G1341" s="1159">
        <v>993668000</v>
      </c>
      <c r="H1341" s="1159">
        <v>813257000</v>
      </c>
      <c r="I1341" s="1159">
        <v>631527000</v>
      </c>
      <c r="J1341" s="1159">
        <v>584019000</v>
      </c>
      <c r="K1341" s="1159">
        <v>532701000</v>
      </c>
      <c r="L1341" s="1159"/>
      <c r="M1341" s="1159"/>
      <c r="N1341" s="1159"/>
      <c r="O1341" s="1159"/>
      <c r="P1341" s="1159"/>
      <c r="Q1341" s="1159"/>
      <c r="R1341" s="1183"/>
      <c r="S1341" s="1160"/>
      <c r="T1341" s="1160"/>
      <c r="U1341" s="1160"/>
      <c r="V1341" s="1160"/>
      <c r="W1341" s="1160"/>
      <c r="X1341" s="1160"/>
      <c r="Y1341" s="1160"/>
      <c r="Z1341" s="1160"/>
      <c r="AA1341" s="1160"/>
      <c r="AB1341" s="1160"/>
      <c r="AC1341" s="1160"/>
      <c r="AD1341" s="1160"/>
      <c r="AE1341" s="1160"/>
      <c r="AF1341" s="1160"/>
      <c r="AG1341" s="1160"/>
      <c r="AH1341" s="1160"/>
      <c r="AI1341" s="1160"/>
      <c r="AJ1341" s="1160"/>
      <c r="AK1341" s="1160"/>
      <c r="AL1341" s="1160"/>
      <c r="AM1341" s="1160"/>
      <c r="AN1341" s="1160"/>
      <c r="AO1341" s="1160"/>
      <c r="AP1341" s="1160"/>
      <c r="AQ1341" s="1160"/>
      <c r="AR1341" s="1160"/>
      <c r="AS1341" s="1160"/>
      <c r="AT1341" s="1160"/>
      <c r="AU1341" s="1160"/>
      <c r="AV1341" s="1160"/>
      <c r="AW1341" s="1160"/>
      <c r="AX1341" s="1160"/>
      <c r="AY1341" s="1160"/>
      <c r="AZ1341" s="1160"/>
      <c r="BA1341" s="1160"/>
      <c r="BB1341" s="1160"/>
      <c r="BC1341" s="1160"/>
      <c r="BD1341" s="1160"/>
      <c r="BE1341" s="1160"/>
      <c r="BF1341" s="1160"/>
      <c r="BG1341" s="1160"/>
      <c r="BH1341" s="1160"/>
      <c r="BI1341" s="1160"/>
      <c r="BJ1341" s="1160"/>
      <c r="BK1341" s="1160"/>
      <c r="BL1341" s="1160"/>
      <c r="BM1341" s="1160"/>
      <c r="BN1341" s="1160"/>
      <c r="BO1341" s="1160"/>
      <c r="BP1341" s="1160"/>
      <c r="BQ1341" s="1160"/>
      <c r="BR1341" s="1160"/>
      <c r="BS1341" s="1160"/>
      <c r="BT1341" s="1160"/>
    </row>
    <row r="1342" spans="1:72" s="1125" customFormat="1" ht="16.350000000000001" customHeight="1" outlineLevel="1">
      <c r="A1342" s="1105"/>
      <c r="B1342" s="1121" t="s">
        <v>870</v>
      </c>
      <c r="C1342" s="1122"/>
      <c r="D1342" s="1122">
        <v>5654981000</v>
      </c>
      <c r="E1342" s="1122">
        <v>4990444000</v>
      </c>
      <c r="F1342" s="1122">
        <v>5208273000</v>
      </c>
      <c r="G1342" s="1122">
        <f>G1343+G1344+G1345+G1346</f>
        <v>5295728000</v>
      </c>
      <c r="H1342" s="1122">
        <f>H1343+H1344+H1345+H1346</f>
        <v>4849300000</v>
      </c>
      <c r="I1342" s="1122">
        <f>I1343+I1344+I1345+I1346</f>
        <v>3171051000</v>
      </c>
      <c r="J1342" s="1122">
        <f>J1343+J1344+J1345+J1346</f>
        <v>2677203000</v>
      </c>
      <c r="K1342" s="1122">
        <f>K1343+K1344+K1345+K1346</f>
        <v>1800486000</v>
      </c>
      <c r="L1342" s="1123"/>
      <c r="M1342" s="1123"/>
      <c r="N1342" s="1123"/>
      <c r="O1342" s="1123"/>
      <c r="P1342" s="1123"/>
      <c r="Q1342" s="1123"/>
      <c r="R1342" s="1110"/>
      <c r="S1342" s="1124"/>
      <c r="T1342" s="1124"/>
      <c r="U1342" s="1124"/>
      <c r="V1342" s="1124"/>
      <c r="W1342" s="1124"/>
      <c r="X1342" s="1124"/>
      <c r="Y1342" s="1124"/>
      <c r="Z1342" s="1124"/>
      <c r="AA1342" s="1124"/>
      <c r="AB1342" s="1124"/>
      <c r="AC1342" s="1124"/>
      <c r="AD1342" s="1124"/>
      <c r="AE1342" s="1124"/>
      <c r="AF1342" s="1124"/>
      <c r="AG1342" s="1124"/>
      <c r="AH1342" s="1124"/>
      <c r="AI1342" s="1124"/>
      <c r="AJ1342" s="1124"/>
      <c r="AK1342" s="1124"/>
      <c r="AL1342" s="1124"/>
      <c r="AM1342" s="1124"/>
      <c r="AN1342" s="1124"/>
      <c r="AO1342" s="1124"/>
      <c r="AP1342" s="1124"/>
      <c r="AQ1342" s="1124"/>
      <c r="AR1342" s="1124"/>
      <c r="AS1342" s="1124"/>
      <c r="AT1342" s="1124"/>
      <c r="AU1342" s="1124"/>
      <c r="AV1342" s="1124"/>
      <c r="AW1342" s="1124"/>
      <c r="AX1342" s="1124"/>
      <c r="AY1342" s="1124"/>
      <c r="AZ1342" s="1124"/>
      <c r="BA1342" s="1124"/>
      <c r="BB1342" s="1124"/>
      <c r="BC1342" s="1124"/>
      <c r="BD1342" s="1124"/>
      <c r="BE1342" s="1124"/>
      <c r="BF1342" s="1124"/>
      <c r="BG1342" s="1124"/>
      <c r="BH1342" s="1124"/>
      <c r="BI1342" s="1124"/>
      <c r="BJ1342" s="1124"/>
      <c r="BK1342" s="1124"/>
      <c r="BL1342" s="1124"/>
      <c r="BM1342" s="1124"/>
      <c r="BN1342" s="1124"/>
      <c r="BO1342" s="1124"/>
      <c r="BP1342" s="1124"/>
      <c r="BQ1342" s="1124"/>
      <c r="BR1342" s="1124"/>
      <c r="BS1342" s="1124"/>
      <c r="BT1342" s="1124"/>
    </row>
    <row r="1343" spans="1:72" s="290" customFormat="1" ht="16.350000000000001" customHeight="1" outlineLevel="2" collapsed="1">
      <c r="A1343" s="1105"/>
      <c r="B1343" s="1181" t="s">
        <v>871</v>
      </c>
      <c r="C1343" s="1127"/>
      <c r="D1343" s="1127">
        <v>4873493000</v>
      </c>
      <c r="E1343" s="1127">
        <v>4353038000</v>
      </c>
      <c r="F1343" s="1127">
        <v>4663747000</v>
      </c>
      <c r="G1343" s="1127">
        <v>4348728000</v>
      </c>
      <c r="H1343" s="1127">
        <v>3113771000</v>
      </c>
      <c r="I1343" s="1127">
        <v>2235620000</v>
      </c>
      <c r="J1343" s="1127">
        <v>1900770000</v>
      </c>
      <c r="K1343" s="1127">
        <v>1092011000</v>
      </c>
      <c r="L1343" s="1182"/>
      <c r="M1343" s="1182"/>
      <c r="N1343" s="1182"/>
      <c r="O1343" s="1182"/>
      <c r="P1343" s="1182"/>
      <c r="Q1343" s="1182"/>
      <c r="R1343" s="1110"/>
      <c r="S1343" s="1160"/>
      <c r="T1343" s="1160"/>
      <c r="U1343" s="1160"/>
      <c r="V1343" s="1160"/>
      <c r="W1343" s="1160"/>
      <c r="X1343" s="1160"/>
      <c r="Y1343" s="1160"/>
      <c r="Z1343" s="1160"/>
      <c r="AA1343" s="1160"/>
      <c r="AB1343" s="1160"/>
      <c r="AC1343" s="1160"/>
      <c r="AD1343" s="1160"/>
      <c r="AE1343" s="1160"/>
      <c r="AF1343" s="1160"/>
      <c r="AG1343" s="1160"/>
      <c r="AH1343" s="1160"/>
      <c r="AI1343" s="1160"/>
      <c r="AJ1343" s="1160"/>
      <c r="AK1343" s="1160"/>
      <c r="AL1343" s="1160"/>
      <c r="AM1343" s="1160"/>
      <c r="AN1343" s="1160"/>
      <c r="AO1343" s="1160"/>
      <c r="AP1343" s="1160"/>
      <c r="AQ1343" s="1160"/>
      <c r="AR1343" s="1160"/>
      <c r="AS1343" s="1160"/>
      <c r="AT1343" s="1160"/>
      <c r="AU1343" s="1160"/>
      <c r="AV1343" s="1160"/>
      <c r="AW1343" s="1160"/>
      <c r="AX1343" s="1160"/>
      <c r="AY1343" s="1160"/>
      <c r="AZ1343" s="1160"/>
      <c r="BA1343" s="1160"/>
      <c r="BB1343" s="1160"/>
      <c r="BC1343" s="1160"/>
      <c r="BD1343" s="1160"/>
      <c r="BE1343" s="1160"/>
      <c r="BF1343" s="1160"/>
      <c r="BG1343" s="1160"/>
      <c r="BH1343" s="1160"/>
      <c r="BI1343" s="1160"/>
      <c r="BJ1343" s="1160"/>
      <c r="BK1343" s="1160"/>
      <c r="BL1343" s="1160"/>
      <c r="BM1343" s="1160"/>
      <c r="BN1343" s="1160"/>
      <c r="BO1343" s="1160"/>
      <c r="BP1343" s="1160"/>
      <c r="BQ1343" s="1160"/>
      <c r="BR1343" s="1160"/>
      <c r="BS1343" s="1160"/>
      <c r="BT1343" s="1160"/>
    </row>
    <row r="1344" spans="1:72" s="290" customFormat="1" ht="16.350000000000001" customHeight="1" outlineLevel="2" collapsed="1">
      <c r="A1344" s="1105"/>
      <c r="B1344" s="1181" t="s">
        <v>872</v>
      </c>
      <c r="C1344" s="1127"/>
      <c r="D1344" s="1127">
        <v>710629000</v>
      </c>
      <c r="E1344" s="1127">
        <v>430435000</v>
      </c>
      <c r="F1344" s="1127">
        <v>477380000</v>
      </c>
      <c r="G1344" s="1127">
        <v>877869000</v>
      </c>
      <c r="H1344" s="1127">
        <v>1536786000</v>
      </c>
      <c r="I1344" s="1127">
        <v>881752000</v>
      </c>
      <c r="J1344" s="1127">
        <v>718726000</v>
      </c>
      <c r="K1344" s="1127">
        <v>651998000</v>
      </c>
      <c r="L1344" s="1182"/>
      <c r="M1344" s="1182"/>
      <c r="N1344" s="1182"/>
      <c r="O1344" s="1182"/>
      <c r="P1344" s="1182"/>
      <c r="Q1344" s="1182"/>
      <c r="R1344" s="1110"/>
      <c r="S1344" s="1160"/>
      <c r="T1344" s="1160"/>
      <c r="U1344" s="1160"/>
      <c r="V1344" s="1160"/>
      <c r="W1344" s="1160"/>
      <c r="X1344" s="1160"/>
      <c r="Y1344" s="1160"/>
      <c r="Z1344" s="1160"/>
      <c r="AA1344" s="1160"/>
      <c r="AB1344" s="1160"/>
      <c r="AC1344" s="1160"/>
      <c r="AD1344" s="1160"/>
      <c r="AE1344" s="1160"/>
      <c r="AF1344" s="1160"/>
      <c r="AG1344" s="1160"/>
      <c r="AH1344" s="1160"/>
      <c r="AI1344" s="1160"/>
      <c r="AJ1344" s="1160"/>
      <c r="AK1344" s="1160"/>
      <c r="AL1344" s="1160"/>
      <c r="AM1344" s="1160"/>
      <c r="AN1344" s="1160"/>
      <c r="AO1344" s="1160"/>
      <c r="AP1344" s="1160"/>
      <c r="AQ1344" s="1160"/>
      <c r="AR1344" s="1160"/>
      <c r="AS1344" s="1160"/>
      <c r="AT1344" s="1160"/>
      <c r="AU1344" s="1160"/>
      <c r="AV1344" s="1160"/>
      <c r="AW1344" s="1160"/>
      <c r="AX1344" s="1160"/>
      <c r="AY1344" s="1160"/>
      <c r="AZ1344" s="1160"/>
      <c r="BA1344" s="1160"/>
      <c r="BB1344" s="1160"/>
      <c r="BC1344" s="1160"/>
      <c r="BD1344" s="1160"/>
      <c r="BE1344" s="1160"/>
      <c r="BF1344" s="1160"/>
      <c r="BG1344" s="1160"/>
      <c r="BH1344" s="1160"/>
      <c r="BI1344" s="1160"/>
      <c r="BJ1344" s="1160"/>
      <c r="BK1344" s="1160"/>
      <c r="BL1344" s="1160"/>
      <c r="BM1344" s="1160"/>
      <c r="BN1344" s="1160"/>
      <c r="BO1344" s="1160"/>
      <c r="BP1344" s="1160"/>
      <c r="BQ1344" s="1160"/>
      <c r="BR1344" s="1160"/>
      <c r="BS1344" s="1160"/>
      <c r="BT1344" s="1160"/>
    </row>
    <row r="1345" spans="1:72" s="290" customFormat="1" ht="16.350000000000001" customHeight="1" outlineLevel="2" collapsed="1">
      <c r="A1345" s="1105"/>
      <c r="B1345" s="1181" t="s">
        <v>873</v>
      </c>
      <c r="C1345" s="1127"/>
      <c r="D1345" s="1127">
        <v>46495000</v>
      </c>
      <c r="E1345" s="1127">
        <v>47925000</v>
      </c>
      <c r="F1345" s="1127">
        <v>52550000</v>
      </c>
      <c r="G1345" s="1127">
        <v>64125000</v>
      </c>
      <c r="H1345" s="1127">
        <v>60019000</v>
      </c>
      <c r="I1345" s="1127">
        <v>53075000</v>
      </c>
      <c r="J1345" s="1127">
        <v>55034000</v>
      </c>
      <c r="K1345" s="1127">
        <v>50484000</v>
      </c>
      <c r="L1345" s="1182"/>
      <c r="M1345" s="1182"/>
      <c r="N1345" s="1182"/>
      <c r="O1345" s="1182"/>
      <c r="P1345" s="1182"/>
      <c r="Q1345" s="1182"/>
      <c r="R1345" s="1110"/>
      <c r="S1345" s="1160"/>
      <c r="T1345" s="1160"/>
      <c r="U1345" s="1160"/>
      <c r="V1345" s="1160"/>
      <c r="W1345" s="1160"/>
      <c r="X1345" s="1160"/>
      <c r="Y1345" s="1160"/>
      <c r="Z1345" s="1160"/>
      <c r="AA1345" s="1160"/>
      <c r="AB1345" s="1160"/>
      <c r="AC1345" s="1160"/>
      <c r="AD1345" s="1160"/>
      <c r="AE1345" s="1160"/>
      <c r="AF1345" s="1160"/>
      <c r="AG1345" s="1160"/>
      <c r="AH1345" s="1160"/>
      <c r="AI1345" s="1160"/>
      <c r="AJ1345" s="1160"/>
      <c r="AK1345" s="1160"/>
      <c r="AL1345" s="1160"/>
      <c r="AM1345" s="1160"/>
      <c r="AN1345" s="1160"/>
      <c r="AO1345" s="1160"/>
      <c r="AP1345" s="1160"/>
      <c r="AQ1345" s="1160"/>
      <c r="AR1345" s="1160"/>
      <c r="AS1345" s="1160"/>
      <c r="AT1345" s="1160"/>
      <c r="AU1345" s="1160"/>
      <c r="AV1345" s="1160"/>
      <c r="AW1345" s="1160"/>
      <c r="AX1345" s="1160"/>
      <c r="AY1345" s="1160"/>
      <c r="AZ1345" s="1160"/>
      <c r="BA1345" s="1160"/>
      <c r="BB1345" s="1160"/>
      <c r="BC1345" s="1160"/>
      <c r="BD1345" s="1160"/>
      <c r="BE1345" s="1160"/>
      <c r="BF1345" s="1160"/>
      <c r="BG1345" s="1160"/>
      <c r="BH1345" s="1160"/>
      <c r="BI1345" s="1160"/>
      <c r="BJ1345" s="1160"/>
      <c r="BK1345" s="1160"/>
      <c r="BL1345" s="1160"/>
      <c r="BM1345" s="1160"/>
      <c r="BN1345" s="1160"/>
      <c r="BO1345" s="1160"/>
      <c r="BP1345" s="1160"/>
      <c r="BQ1345" s="1160"/>
      <c r="BR1345" s="1160"/>
      <c r="BS1345" s="1160"/>
      <c r="BT1345" s="1160"/>
    </row>
    <row r="1346" spans="1:72" s="290" customFormat="1" ht="16.350000000000001" customHeight="1" outlineLevel="2" collapsed="1">
      <c r="A1346" s="1105"/>
      <c r="B1346" s="1181" t="s">
        <v>874</v>
      </c>
      <c r="C1346" s="1127"/>
      <c r="D1346" s="1127">
        <v>24364000</v>
      </c>
      <c r="E1346" s="1127">
        <v>159046000</v>
      </c>
      <c r="F1346" s="1127">
        <v>14596000</v>
      </c>
      <c r="G1346" s="1127">
        <v>5006000</v>
      </c>
      <c r="H1346" s="1127">
        <v>138724000</v>
      </c>
      <c r="I1346" s="1127">
        <v>604000</v>
      </c>
      <c r="J1346" s="1127">
        <v>2673000</v>
      </c>
      <c r="K1346" s="1127">
        <v>5993000</v>
      </c>
      <c r="L1346" s="1182"/>
      <c r="M1346" s="1182"/>
      <c r="N1346" s="1182"/>
      <c r="O1346" s="1182"/>
      <c r="P1346" s="1182"/>
      <c r="Q1346" s="1182"/>
      <c r="R1346" s="1110"/>
      <c r="S1346" s="1160"/>
      <c r="T1346" s="1160"/>
      <c r="U1346" s="1160"/>
      <c r="V1346" s="1160"/>
      <c r="W1346" s="1160"/>
      <c r="X1346" s="1160"/>
      <c r="Y1346" s="1160"/>
      <c r="Z1346" s="1160"/>
      <c r="AA1346" s="1160"/>
      <c r="AB1346" s="1160"/>
      <c r="AC1346" s="1160"/>
      <c r="AD1346" s="1160"/>
      <c r="AE1346" s="1160"/>
      <c r="AF1346" s="1160"/>
      <c r="AG1346" s="1160"/>
      <c r="AH1346" s="1160"/>
      <c r="AI1346" s="1160"/>
      <c r="AJ1346" s="1160"/>
      <c r="AK1346" s="1160"/>
      <c r="AL1346" s="1160"/>
      <c r="AM1346" s="1160"/>
      <c r="AN1346" s="1160"/>
      <c r="AO1346" s="1160"/>
      <c r="AP1346" s="1160"/>
      <c r="AQ1346" s="1160"/>
      <c r="AR1346" s="1160"/>
      <c r="AS1346" s="1160"/>
      <c r="AT1346" s="1160"/>
      <c r="AU1346" s="1160"/>
      <c r="AV1346" s="1160"/>
      <c r="AW1346" s="1160"/>
      <c r="AX1346" s="1160"/>
      <c r="AY1346" s="1160"/>
      <c r="AZ1346" s="1160"/>
      <c r="BA1346" s="1160"/>
      <c r="BB1346" s="1160"/>
      <c r="BC1346" s="1160"/>
      <c r="BD1346" s="1160"/>
      <c r="BE1346" s="1160"/>
      <c r="BF1346" s="1160"/>
      <c r="BG1346" s="1160"/>
      <c r="BH1346" s="1160"/>
      <c r="BI1346" s="1160"/>
      <c r="BJ1346" s="1160"/>
      <c r="BK1346" s="1160"/>
      <c r="BL1346" s="1160"/>
      <c r="BM1346" s="1160"/>
      <c r="BN1346" s="1160"/>
      <c r="BO1346" s="1160"/>
      <c r="BP1346" s="1160"/>
      <c r="BQ1346" s="1160"/>
      <c r="BR1346" s="1160"/>
      <c r="BS1346" s="1160"/>
      <c r="BT1346" s="1160"/>
    </row>
    <row r="1347" spans="1:72" s="290" customFormat="1" ht="16.350000000000001" customHeight="1" outlineLevel="1">
      <c r="A1347" s="1105"/>
      <c r="B1347" s="1121" t="s">
        <v>875</v>
      </c>
      <c r="C1347" s="1122"/>
      <c r="D1347" s="1159">
        <v>66747000</v>
      </c>
      <c r="E1347" s="1159">
        <v>598270000</v>
      </c>
      <c r="F1347" s="1159">
        <v>447809000</v>
      </c>
      <c r="G1347" s="1159">
        <v>96673000</v>
      </c>
      <c r="H1347" s="1159">
        <v>69385000</v>
      </c>
      <c r="I1347" s="1159">
        <v>27986000</v>
      </c>
      <c r="J1347" s="1159">
        <v>28943000</v>
      </c>
      <c r="K1347" s="1159">
        <v>39271000</v>
      </c>
      <c r="L1347" s="1159"/>
      <c r="M1347" s="1159"/>
      <c r="N1347" s="1159"/>
      <c r="O1347" s="1159"/>
      <c r="P1347" s="1159"/>
      <c r="Q1347" s="1159"/>
      <c r="R1347" s="1183"/>
      <c r="S1347" s="1160"/>
      <c r="T1347" s="1160"/>
      <c r="U1347" s="1160"/>
      <c r="V1347" s="1160"/>
      <c r="W1347" s="1160"/>
      <c r="X1347" s="1160"/>
      <c r="Y1347" s="1160"/>
      <c r="Z1347" s="1160"/>
      <c r="AA1347" s="1160"/>
      <c r="AB1347" s="1160"/>
      <c r="AC1347" s="1160"/>
      <c r="AD1347" s="1160"/>
      <c r="AE1347" s="1160"/>
      <c r="AF1347" s="1160"/>
      <c r="AG1347" s="1160"/>
      <c r="AH1347" s="1160"/>
      <c r="AI1347" s="1160"/>
      <c r="AJ1347" s="1160"/>
      <c r="AK1347" s="1160"/>
      <c r="AL1347" s="1160"/>
      <c r="AM1347" s="1160"/>
      <c r="AN1347" s="1160"/>
      <c r="AO1347" s="1160"/>
      <c r="AP1347" s="1160"/>
      <c r="AQ1347" s="1160"/>
      <c r="AR1347" s="1160"/>
      <c r="AS1347" s="1160"/>
      <c r="AT1347" s="1160"/>
      <c r="AU1347" s="1160"/>
      <c r="AV1347" s="1160"/>
      <c r="AW1347" s="1160"/>
      <c r="AX1347" s="1160"/>
      <c r="AY1347" s="1160"/>
      <c r="AZ1347" s="1160"/>
      <c r="BA1347" s="1160"/>
      <c r="BB1347" s="1160"/>
      <c r="BC1347" s="1160"/>
      <c r="BD1347" s="1160"/>
      <c r="BE1347" s="1160"/>
      <c r="BF1347" s="1160"/>
      <c r="BG1347" s="1160"/>
      <c r="BH1347" s="1160"/>
      <c r="BI1347" s="1160"/>
      <c r="BJ1347" s="1160"/>
      <c r="BK1347" s="1160"/>
      <c r="BL1347" s="1160"/>
      <c r="BM1347" s="1160"/>
      <c r="BN1347" s="1160"/>
      <c r="BO1347" s="1160"/>
      <c r="BP1347" s="1160"/>
      <c r="BQ1347" s="1160"/>
      <c r="BR1347" s="1160"/>
      <c r="BS1347" s="1160"/>
      <c r="BT1347" s="1160"/>
    </row>
    <row r="1348" spans="1:72" s="290" customFormat="1" ht="16.350000000000001" customHeight="1" outlineLevel="1">
      <c r="A1348" s="1105"/>
      <c r="B1348" s="1121" t="s">
        <v>876</v>
      </c>
      <c r="C1348" s="1122"/>
      <c r="D1348" s="1159">
        <v>522021000</v>
      </c>
      <c r="E1348" s="1159">
        <v>640440000</v>
      </c>
      <c r="F1348" s="1159">
        <v>458766000</v>
      </c>
      <c r="G1348" s="1159">
        <v>320910000</v>
      </c>
      <c r="H1348" s="1159">
        <v>242529000</v>
      </c>
      <c r="I1348" s="1159">
        <v>252152000</v>
      </c>
      <c r="J1348" s="1159">
        <v>181944000</v>
      </c>
      <c r="K1348" s="1159">
        <v>379511000</v>
      </c>
      <c r="L1348" s="1159"/>
      <c r="M1348" s="1159"/>
      <c r="N1348" s="1159"/>
      <c r="O1348" s="1159"/>
      <c r="P1348" s="1159"/>
      <c r="Q1348" s="1159"/>
      <c r="R1348" s="1183"/>
      <c r="S1348" s="1160"/>
      <c r="T1348" s="1160"/>
      <c r="U1348" s="1160"/>
      <c r="V1348" s="1160"/>
      <c r="W1348" s="1160"/>
      <c r="X1348" s="1160"/>
      <c r="Y1348" s="1160"/>
      <c r="Z1348" s="1160"/>
      <c r="AA1348" s="1160"/>
      <c r="AB1348" s="1160"/>
      <c r="AC1348" s="1160"/>
      <c r="AD1348" s="1160"/>
      <c r="AE1348" s="1160"/>
      <c r="AF1348" s="1160"/>
      <c r="AG1348" s="1160"/>
      <c r="AH1348" s="1160"/>
      <c r="AI1348" s="1160"/>
      <c r="AJ1348" s="1160"/>
      <c r="AK1348" s="1160"/>
      <c r="AL1348" s="1160"/>
      <c r="AM1348" s="1160"/>
      <c r="AN1348" s="1160"/>
      <c r="AO1348" s="1160"/>
      <c r="AP1348" s="1160"/>
      <c r="AQ1348" s="1160"/>
      <c r="AR1348" s="1160"/>
      <c r="AS1348" s="1160"/>
      <c r="AT1348" s="1160"/>
      <c r="AU1348" s="1160"/>
      <c r="AV1348" s="1160"/>
      <c r="AW1348" s="1160"/>
      <c r="AX1348" s="1160"/>
      <c r="AY1348" s="1160"/>
      <c r="AZ1348" s="1160"/>
      <c r="BA1348" s="1160"/>
      <c r="BB1348" s="1160"/>
      <c r="BC1348" s="1160"/>
      <c r="BD1348" s="1160"/>
      <c r="BE1348" s="1160"/>
      <c r="BF1348" s="1160"/>
      <c r="BG1348" s="1160"/>
      <c r="BH1348" s="1160"/>
      <c r="BI1348" s="1160"/>
      <c r="BJ1348" s="1160"/>
      <c r="BK1348" s="1160"/>
      <c r="BL1348" s="1160"/>
      <c r="BM1348" s="1160"/>
      <c r="BN1348" s="1160"/>
      <c r="BO1348" s="1160"/>
      <c r="BP1348" s="1160"/>
      <c r="BQ1348" s="1160"/>
      <c r="BR1348" s="1160"/>
      <c r="BS1348" s="1160"/>
      <c r="BT1348" s="1160"/>
    </row>
    <row r="1349" spans="1:72" s="290" customFormat="1" ht="16.350000000000001" customHeight="1" outlineLevel="1">
      <c r="A1349" s="1105"/>
      <c r="B1349" s="1121" t="s">
        <v>877</v>
      </c>
      <c r="C1349" s="1122"/>
      <c r="D1349" s="1159">
        <v>488996000</v>
      </c>
      <c r="E1349" s="1159">
        <v>215308000</v>
      </c>
      <c r="F1349" s="1159">
        <v>215876000</v>
      </c>
      <c r="G1349" s="1159">
        <v>246782000</v>
      </c>
      <c r="H1349" s="1159">
        <v>475186000</v>
      </c>
      <c r="I1349" s="1159">
        <v>1150642000</v>
      </c>
      <c r="J1349" s="1159">
        <v>876660000</v>
      </c>
      <c r="K1349" s="1159">
        <v>172387000</v>
      </c>
      <c r="L1349" s="1159"/>
      <c r="M1349" s="1159"/>
      <c r="N1349" s="1159"/>
      <c r="O1349" s="1159"/>
      <c r="P1349" s="1159"/>
      <c r="Q1349" s="1159"/>
      <c r="R1349" s="1183"/>
      <c r="S1349" s="1160"/>
      <c r="T1349" s="1160"/>
      <c r="U1349" s="1160"/>
      <c r="V1349" s="1160"/>
      <c r="W1349" s="1160"/>
      <c r="X1349" s="1160"/>
      <c r="Y1349" s="1160"/>
      <c r="Z1349" s="1160"/>
      <c r="AA1349" s="1160"/>
      <c r="AB1349" s="1160"/>
      <c r="AC1349" s="1160"/>
      <c r="AD1349" s="1160"/>
      <c r="AE1349" s="1160"/>
      <c r="AF1349" s="1160"/>
      <c r="AG1349" s="1160"/>
      <c r="AH1349" s="1160"/>
      <c r="AI1349" s="1160"/>
      <c r="AJ1349" s="1160"/>
      <c r="AK1349" s="1160"/>
      <c r="AL1349" s="1160"/>
      <c r="AM1349" s="1160"/>
      <c r="AN1349" s="1160"/>
      <c r="AO1349" s="1160"/>
      <c r="AP1349" s="1160"/>
      <c r="AQ1349" s="1160"/>
      <c r="AR1349" s="1160"/>
      <c r="AS1349" s="1160"/>
      <c r="AT1349" s="1160"/>
      <c r="AU1349" s="1160"/>
      <c r="AV1349" s="1160"/>
      <c r="AW1349" s="1160"/>
      <c r="AX1349" s="1160"/>
      <c r="AY1349" s="1160"/>
      <c r="AZ1349" s="1160"/>
      <c r="BA1349" s="1160"/>
      <c r="BB1349" s="1160"/>
      <c r="BC1349" s="1160"/>
      <c r="BD1349" s="1160"/>
      <c r="BE1349" s="1160"/>
      <c r="BF1349" s="1160"/>
      <c r="BG1349" s="1160"/>
      <c r="BH1349" s="1160"/>
      <c r="BI1349" s="1160"/>
      <c r="BJ1349" s="1160"/>
      <c r="BK1349" s="1160"/>
      <c r="BL1349" s="1160"/>
      <c r="BM1349" s="1160"/>
      <c r="BN1349" s="1160"/>
      <c r="BO1349" s="1160"/>
      <c r="BP1349" s="1160"/>
      <c r="BQ1349" s="1160"/>
      <c r="BR1349" s="1160"/>
      <c r="BS1349" s="1160"/>
      <c r="BT1349" s="1160"/>
    </row>
    <row r="1350" spans="1:72" s="290" customFormat="1" ht="16.350000000000001" customHeight="1" outlineLevel="1">
      <c r="A1350" s="1105"/>
      <c r="B1350" s="1121" t="s">
        <v>878</v>
      </c>
      <c r="C1350" s="1122"/>
      <c r="D1350" s="1159">
        <v>467769000</v>
      </c>
      <c r="E1350" s="1159">
        <v>1153657000</v>
      </c>
      <c r="F1350" s="1159">
        <v>239732000</v>
      </c>
      <c r="G1350" s="1159">
        <v>0</v>
      </c>
      <c r="H1350" s="1159">
        <v>131859000</v>
      </c>
      <c r="I1350" s="1159">
        <v>0</v>
      </c>
      <c r="J1350" s="1159">
        <v>0</v>
      </c>
      <c r="K1350" s="1159">
        <v>0</v>
      </c>
      <c r="L1350" s="1159"/>
      <c r="M1350" s="1159"/>
      <c r="N1350" s="1159"/>
      <c r="O1350" s="1159"/>
      <c r="P1350" s="1159"/>
      <c r="Q1350" s="1159"/>
      <c r="R1350" s="1183"/>
      <c r="S1350" s="1160"/>
      <c r="T1350" s="1160"/>
      <c r="U1350" s="1160"/>
      <c r="V1350" s="1160"/>
      <c r="W1350" s="1160"/>
      <c r="X1350" s="1160"/>
      <c r="Y1350" s="1160"/>
      <c r="Z1350" s="1160"/>
      <c r="AA1350" s="1160"/>
      <c r="AB1350" s="1160"/>
      <c r="AC1350" s="1160"/>
      <c r="AD1350" s="1160"/>
      <c r="AE1350" s="1160"/>
      <c r="AF1350" s="1160"/>
      <c r="AG1350" s="1160"/>
      <c r="AH1350" s="1160"/>
      <c r="AI1350" s="1160"/>
      <c r="AJ1350" s="1160"/>
      <c r="AK1350" s="1160"/>
      <c r="AL1350" s="1160"/>
      <c r="AM1350" s="1160"/>
      <c r="AN1350" s="1160"/>
      <c r="AO1350" s="1160"/>
      <c r="AP1350" s="1160"/>
      <c r="AQ1350" s="1160"/>
      <c r="AR1350" s="1160"/>
      <c r="AS1350" s="1160"/>
      <c r="AT1350" s="1160"/>
      <c r="AU1350" s="1160"/>
      <c r="AV1350" s="1160"/>
      <c r="AW1350" s="1160"/>
      <c r="AX1350" s="1160"/>
      <c r="AY1350" s="1160"/>
      <c r="AZ1350" s="1160"/>
      <c r="BA1350" s="1160"/>
      <c r="BB1350" s="1160"/>
      <c r="BC1350" s="1160"/>
      <c r="BD1350" s="1160"/>
      <c r="BE1350" s="1160"/>
      <c r="BF1350" s="1160"/>
      <c r="BG1350" s="1160"/>
      <c r="BH1350" s="1160"/>
      <c r="BI1350" s="1160"/>
      <c r="BJ1350" s="1160"/>
      <c r="BK1350" s="1160"/>
      <c r="BL1350" s="1160"/>
      <c r="BM1350" s="1160"/>
      <c r="BN1350" s="1160"/>
      <c r="BO1350" s="1160"/>
      <c r="BP1350" s="1160"/>
      <c r="BQ1350" s="1160"/>
      <c r="BR1350" s="1160"/>
      <c r="BS1350" s="1160"/>
      <c r="BT1350" s="1160"/>
    </row>
    <row r="1351" spans="1:72" s="1125" customFormat="1" ht="16.350000000000001" customHeight="1" outlineLevel="1">
      <c r="A1351" s="1105"/>
      <c r="B1351" s="1121" t="s">
        <v>879</v>
      </c>
      <c r="C1351" s="1122"/>
      <c r="D1351" s="1122">
        <v>26747754000</v>
      </c>
      <c r="E1351" s="1122">
        <v>18337417000</v>
      </c>
      <c r="F1351" s="1122">
        <v>16559271000</v>
      </c>
      <c r="G1351" s="1122">
        <f>G1352+G1353+G1354+G1355+G1357</f>
        <v>8390900000</v>
      </c>
      <c r="H1351" s="1122">
        <f>H1352+H1353+H1354+H1355+H1357</f>
        <v>17691541000</v>
      </c>
      <c r="I1351" s="1122">
        <f>I1352+I1353+I1354+I1355+I1357</f>
        <v>5931130000</v>
      </c>
      <c r="J1351" s="1122">
        <f>J1352+J1353+J1354+J1355+J1357</f>
        <v>12452609000</v>
      </c>
      <c r="K1351" s="1122">
        <f>K1352+K1353+K1354+K1355+K1357</f>
        <v>17205341000</v>
      </c>
      <c r="L1351" s="1123"/>
      <c r="M1351" s="1123"/>
      <c r="N1351" s="1123"/>
      <c r="O1351" s="1123"/>
      <c r="P1351" s="1123"/>
      <c r="Q1351" s="1123"/>
      <c r="R1351" s="1110"/>
      <c r="S1351" s="1124"/>
      <c r="T1351" s="1124"/>
      <c r="U1351" s="1124"/>
      <c r="V1351" s="1124"/>
      <c r="W1351" s="1124"/>
      <c r="X1351" s="1124"/>
      <c r="Y1351" s="1124"/>
      <c r="Z1351" s="1124"/>
      <c r="AA1351" s="1124"/>
      <c r="AB1351" s="1124"/>
      <c r="AC1351" s="1124"/>
      <c r="AD1351" s="1124"/>
      <c r="AE1351" s="1124"/>
      <c r="AF1351" s="1124"/>
      <c r="AG1351" s="1124"/>
      <c r="AH1351" s="1124"/>
      <c r="AI1351" s="1124"/>
      <c r="AJ1351" s="1124"/>
      <c r="AK1351" s="1124"/>
      <c r="AL1351" s="1124"/>
      <c r="AM1351" s="1124"/>
      <c r="AN1351" s="1124"/>
      <c r="AO1351" s="1124"/>
      <c r="AP1351" s="1124"/>
      <c r="AQ1351" s="1124"/>
      <c r="AR1351" s="1124"/>
      <c r="AS1351" s="1124"/>
      <c r="AT1351" s="1124"/>
      <c r="AU1351" s="1124"/>
      <c r="AV1351" s="1124"/>
      <c r="AW1351" s="1124"/>
      <c r="AX1351" s="1124"/>
      <c r="AY1351" s="1124"/>
      <c r="AZ1351" s="1124"/>
      <c r="BA1351" s="1124"/>
      <c r="BB1351" s="1124"/>
      <c r="BC1351" s="1124"/>
      <c r="BD1351" s="1124"/>
      <c r="BE1351" s="1124"/>
      <c r="BF1351" s="1124"/>
      <c r="BG1351" s="1124"/>
      <c r="BH1351" s="1124"/>
      <c r="BI1351" s="1124"/>
      <c r="BJ1351" s="1124"/>
      <c r="BK1351" s="1124"/>
      <c r="BL1351" s="1124"/>
      <c r="BM1351" s="1124"/>
      <c r="BN1351" s="1124"/>
      <c r="BO1351" s="1124"/>
      <c r="BP1351" s="1124"/>
      <c r="BQ1351" s="1124"/>
      <c r="BR1351" s="1124"/>
      <c r="BS1351" s="1124"/>
      <c r="BT1351" s="1124"/>
    </row>
    <row r="1352" spans="1:72" s="290" customFormat="1" ht="16.350000000000001" customHeight="1" outlineLevel="2" collapsed="1">
      <c r="A1352" s="1105"/>
      <c r="B1352" s="1181" t="s">
        <v>880</v>
      </c>
      <c r="C1352" s="1127"/>
      <c r="D1352" s="1127">
        <v>2255279000</v>
      </c>
      <c r="E1352" s="1127">
        <v>2098404000</v>
      </c>
      <c r="F1352" s="1127">
        <v>1841594000</v>
      </c>
      <c r="G1352" s="1127">
        <v>1635966000</v>
      </c>
      <c r="H1352" s="1127">
        <v>1747752000</v>
      </c>
      <c r="I1352" s="1127">
        <v>1434721000</v>
      </c>
      <c r="J1352" s="1127">
        <v>1392129000</v>
      </c>
      <c r="K1352" s="1127">
        <v>887591000</v>
      </c>
      <c r="L1352" s="1182"/>
      <c r="M1352" s="1182"/>
      <c r="N1352" s="1182"/>
      <c r="O1352" s="1182"/>
      <c r="P1352" s="1182"/>
      <c r="Q1352" s="1182"/>
      <c r="R1352" s="1110"/>
      <c r="S1352" s="1160"/>
      <c r="T1352" s="1160"/>
      <c r="U1352" s="1160"/>
      <c r="V1352" s="1160"/>
      <c r="W1352" s="1160"/>
      <c r="X1352" s="1160"/>
      <c r="Y1352" s="1160"/>
      <c r="Z1352" s="1160"/>
      <c r="AA1352" s="1160"/>
      <c r="AB1352" s="1160"/>
      <c r="AC1352" s="1160"/>
      <c r="AD1352" s="1160"/>
      <c r="AE1352" s="1160"/>
      <c r="AF1352" s="1160"/>
      <c r="AG1352" s="1160"/>
      <c r="AH1352" s="1160"/>
      <c r="AI1352" s="1160"/>
      <c r="AJ1352" s="1160"/>
      <c r="AK1352" s="1160"/>
      <c r="AL1352" s="1160"/>
      <c r="AM1352" s="1160"/>
      <c r="AN1352" s="1160"/>
      <c r="AO1352" s="1160"/>
      <c r="AP1352" s="1160"/>
      <c r="AQ1352" s="1160"/>
      <c r="AR1352" s="1160"/>
      <c r="AS1352" s="1160"/>
      <c r="AT1352" s="1160"/>
      <c r="AU1352" s="1160"/>
      <c r="AV1352" s="1160"/>
      <c r="AW1352" s="1160"/>
      <c r="AX1352" s="1160"/>
      <c r="AY1352" s="1160"/>
      <c r="AZ1352" s="1160"/>
      <c r="BA1352" s="1160"/>
      <c r="BB1352" s="1160"/>
      <c r="BC1352" s="1160"/>
      <c r="BD1352" s="1160"/>
      <c r="BE1352" s="1160"/>
      <c r="BF1352" s="1160"/>
      <c r="BG1352" s="1160"/>
      <c r="BH1352" s="1160"/>
      <c r="BI1352" s="1160"/>
      <c r="BJ1352" s="1160"/>
      <c r="BK1352" s="1160"/>
      <c r="BL1352" s="1160"/>
      <c r="BM1352" s="1160"/>
      <c r="BN1352" s="1160"/>
      <c r="BO1352" s="1160"/>
      <c r="BP1352" s="1160"/>
      <c r="BQ1352" s="1160"/>
      <c r="BR1352" s="1160"/>
      <c r="BS1352" s="1160"/>
      <c r="BT1352" s="1160"/>
    </row>
    <row r="1353" spans="1:72" s="290" customFormat="1" ht="16.350000000000001" customHeight="1" outlineLevel="2" collapsed="1">
      <c r="A1353" s="1105"/>
      <c r="B1353" s="1181" t="s">
        <v>881</v>
      </c>
      <c r="C1353" s="1127"/>
      <c r="D1353" s="1127">
        <v>4795522000</v>
      </c>
      <c r="E1353" s="1127">
        <v>6770745000</v>
      </c>
      <c r="F1353" s="1127">
        <v>3717898000</v>
      </c>
      <c r="G1353" s="1127">
        <v>132314000</v>
      </c>
      <c r="H1353" s="1127">
        <v>98326000</v>
      </c>
      <c r="I1353" s="1127">
        <v>381965000</v>
      </c>
      <c r="J1353" s="1127">
        <v>3486895000</v>
      </c>
      <c r="K1353" s="1127">
        <v>1553269000</v>
      </c>
      <c r="L1353" s="1182"/>
      <c r="M1353" s="1182"/>
      <c r="N1353" s="1182"/>
      <c r="O1353" s="1182"/>
      <c r="P1353" s="1182"/>
      <c r="Q1353" s="1182"/>
      <c r="R1353" s="1110"/>
      <c r="S1353" s="1160"/>
      <c r="T1353" s="1160"/>
      <c r="U1353" s="1160"/>
      <c r="V1353" s="1160"/>
      <c r="W1353" s="1160"/>
      <c r="X1353" s="1160"/>
      <c r="Y1353" s="1160"/>
      <c r="Z1353" s="1160"/>
      <c r="AA1353" s="1160"/>
      <c r="AB1353" s="1160"/>
      <c r="AC1353" s="1160"/>
      <c r="AD1353" s="1160"/>
      <c r="AE1353" s="1160"/>
      <c r="AF1353" s="1160"/>
      <c r="AG1353" s="1160"/>
      <c r="AH1353" s="1160"/>
      <c r="AI1353" s="1160"/>
      <c r="AJ1353" s="1160"/>
      <c r="AK1353" s="1160"/>
      <c r="AL1353" s="1160"/>
      <c r="AM1353" s="1160"/>
      <c r="AN1353" s="1160"/>
      <c r="AO1353" s="1160"/>
      <c r="AP1353" s="1160"/>
      <c r="AQ1353" s="1160"/>
      <c r="AR1353" s="1160"/>
      <c r="AS1353" s="1160"/>
      <c r="AT1353" s="1160"/>
      <c r="AU1353" s="1160"/>
      <c r="AV1353" s="1160"/>
      <c r="AW1353" s="1160"/>
      <c r="AX1353" s="1160"/>
      <c r="AY1353" s="1160"/>
      <c r="AZ1353" s="1160"/>
      <c r="BA1353" s="1160"/>
      <c r="BB1353" s="1160"/>
      <c r="BC1353" s="1160"/>
      <c r="BD1353" s="1160"/>
      <c r="BE1353" s="1160"/>
      <c r="BF1353" s="1160"/>
      <c r="BG1353" s="1160"/>
      <c r="BH1353" s="1160"/>
      <c r="BI1353" s="1160"/>
      <c r="BJ1353" s="1160"/>
      <c r="BK1353" s="1160"/>
      <c r="BL1353" s="1160"/>
      <c r="BM1353" s="1160"/>
      <c r="BN1353" s="1160"/>
      <c r="BO1353" s="1160"/>
      <c r="BP1353" s="1160"/>
      <c r="BQ1353" s="1160"/>
      <c r="BR1353" s="1160"/>
      <c r="BS1353" s="1160"/>
      <c r="BT1353" s="1160"/>
    </row>
    <row r="1354" spans="1:72" s="290" customFormat="1" ht="16.350000000000001" customHeight="1" outlineLevel="2" collapsed="1">
      <c r="A1354" s="1105"/>
      <c r="B1354" s="1181" t="s">
        <v>882</v>
      </c>
      <c r="C1354" s="1127"/>
      <c r="D1354" s="1127">
        <v>20765000</v>
      </c>
      <c r="E1354" s="1127">
        <v>15135000</v>
      </c>
      <c r="F1354" s="1127">
        <v>6764000</v>
      </c>
      <c r="G1354" s="1127">
        <v>26540000</v>
      </c>
      <c r="H1354" s="1127">
        <v>15985000</v>
      </c>
      <c r="I1354" s="1127">
        <v>3722000</v>
      </c>
      <c r="J1354" s="1127">
        <v>3897000</v>
      </c>
      <c r="K1354" s="1127">
        <v>8224000</v>
      </c>
      <c r="L1354" s="1182"/>
      <c r="M1354" s="1182"/>
      <c r="N1354" s="1182"/>
      <c r="O1354" s="1182"/>
      <c r="P1354" s="1182"/>
      <c r="Q1354" s="1182"/>
      <c r="R1354" s="1110"/>
      <c r="S1354" s="1160"/>
      <c r="T1354" s="1160"/>
      <c r="U1354" s="1160"/>
      <c r="V1354" s="1160"/>
      <c r="W1354" s="1160"/>
      <c r="X1354" s="1160"/>
      <c r="Y1354" s="1160"/>
      <c r="Z1354" s="1160"/>
      <c r="AA1354" s="1160"/>
      <c r="AB1354" s="1160"/>
      <c r="AC1354" s="1160"/>
      <c r="AD1354" s="1160"/>
      <c r="AE1354" s="1160"/>
      <c r="AF1354" s="1160"/>
      <c r="AG1354" s="1160"/>
      <c r="AH1354" s="1160"/>
      <c r="AI1354" s="1160"/>
      <c r="AJ1354" s="1160"/>
      <c r="AK1354" s="1160"/>
      <c r="AL1354" s="1160"/>
      <c r="AM1354" s="1160"/>
      <c r="AN1354" s="1160"/>
      <c r="AO1354" s="1160"/>
      <c r="AP1354" s="1160"/>
      <c r="AQ1354" s="1160"/>
      <c r="AR1354" s="1160"/>
      <c r="AS1354" s="1160"/>
      <c r="AT1354" s="1160"/>
      <c r="AU1354" s="1160"/>
      <c r="AV1354" s="1160"/>
      <c r="AW1354" s="1160"/>
      <c r="AX1354" s="1160"/>
      <c r="AY1354" s="1160"/>
      <c r="AZ1354" s="1160"/>
      <c r="BA1354" s="1160"/>
      <c r="BB1354" s="1160"/>
      <c r="BC1354" s="1160"/>
      <c r="BD1354" s="1160"/>
      <c r="BE1354" s="1160"/>
      <c r="BF1354" s="1160"/>
      <c r="BG1354" s="1160"/>
      <c r="BH1354" s="1160"/>
      <c r="BI1354" s="1160"/>
      <c r="BJ1354" s="1160"/>
      <c r="BK1354" s="1160"/>
      <c r="BL1354" s="1160"/>
      <c r="BM1354" s="1160"/>
      <c r="BN1354" s="1160"/>
      <c r="BO1354" s="1160"/>
      <c r="BP1354" s="1160"/>
      <c r="BQ1354" s="1160"/>
      <c r="BR1354" s="1160"/>
      <c r="BS1354" s="1160"/>
      <c r="BT1354" s="1160"/>
    </row>
    <row r="1355" spans="1:72" s="290" customFormat="1" ht="16.350000000000001" customHeight="1" outlineLevel="2" collapsed="1">
      <c r="A1355" s="1105"/>
      <c r="B1355" s="1181" t="s">
        <v>883</v>
      </c>
      <c r="C1355" s="1127"/>
      <c r="D1355" s="1127">
        <v>8746776000</v>
      </c>
      <c r="E1355" s="1127">
        <v>9453133000</v>
      </c>
      <c r="F1355" s="1127">
        <v>9792628000</v>
      </c>
      <c r="G1355" s="1127">
        <v>6596080000</v>
      </c>
      <c r="H1355" s="1127">
        <v>5823585000</v>
      </c>
      <c r="I1355" s="1127">
        <v>4110722000</v>
      </c>
      <c r="J1355" s="1127">
        <v>7569688000</v>
      </c>
      <c r="K1355" s="1127">
        <v>4923829000</v>
      </c>
      <c r="L1355" s="1182"/>
      <c r="M1355" s="1182"/>
      <c r="N1355" s="1182"/>
      <c r="O1355" s="1182"/>
      <c r="P1355" s="1182"/>
      <c r="Q1355" s="1182"/>
      <c r="R1355" s="1110"/>
      <c r="S1355" s="1160"/>
      <c r="T1355" s="1160"/>
      <c r="U1355" s="1160"/>
      <c r="V1355" s="1160"/>
      <c r="W1355" s="1160"/>
      <c r="X1355" s="1160"/>
      <c r="Y1355" s="1160"/>
      <c r="Z1355" s="1160"/>
      <c r="AA1355" s="1160"/>
      <c r="AB1355" s="1160"/>
      <c r="AC1355" s="1160"/>
      <c r="AD1355" s="1160"/>
      <c r="AE1355" s="1160"/>
      <c r="AF1355" s="1160"/>
      <c r="AG1355" s="1160"/>
      <c r="AH1355" s="1160"/>
      <c r="AI1355" s="1160"/>
      <c r="AJ1355" s="1160"/>
      <c r="AK1355" s="1160"/>
      <c r="AL1355" s="1160"/>
      <c r="AM1355" s="1160"/>
      <c r="AN1355" s="1160"/>
      <c r="AO1355" s="1160"/>
      <c r="AP1355" s="1160"/>
      <c r="AQ1355" s="1160"/>
      <c r="AR1355" s="1160"/>
      <c r="AS1355" s="1160"/>
      <c r="AT1355" s="1160"/>
      <c r="AU1355" s="1160"/>
      <c r="AV1355" s="1160"/>
      <c r="AW1355" s="1160"/>
      <c r="AX1355" s="1160"/>
      <c r="AY1355" s="1160"/>
      <c r="AZ1355" s="1160"/>
      <c r="BA1355" s="1160"/>
      <c r="BB1355" s="1160"/>
      <c r="BC1355" s="1160"/>
      <c r="BD1355" s="1160"/>
      <c r="BE1355" s="1160"/>
      <c r="BF1355" s="1160"/>
      <c r="BG1355" s="1160"/>
      <c r="BH1355" s="1160"/>
      <c r="BI1355" s="1160"/>
      <c r="BJ1355" s="1160"/>
      <c r="BK1355" s="1160"/>
      <c r="BL1355" s="1160"/>
      <c r="BM1355" s="1160"/>
      <c r="BN1355" s="1160"/>
      <c r="BO1355" s="1160"/>
      <c r="BP1355" s="1160"/>
      <c r="BQ1355" s="1160"/>
      <c r="BR1355" s="1160"/>
      <c r="BS1355" s="1160"/>
      <c r="BT1355" s="1160"/>
    </row>
    <row r="1356" spans="1:72" s="290" customFormat="1" ht="16.350000000000001" customHeight="1" outlineLevel="2">
      <c r="A1356" s="1105"/>
      <c r="B1356" s="1181" t="s">
        <v>884</v>
      </c>
      <c r="C1356" s="1127"/>
      <c r="D1356" s="1127">
        <v>9540000000</v>
      </c>
      <c r="E1356" s="1127"/>
      <c r="F1356" s="1127"/>
      <c r="G1356" s="1127"/>
      <c r="H1356" s="1127"/>
      <c r="I1356" s="1127"/>
      <c r="J1356" s="1127"/>
      <c r="K1356" s="1127"/>
      <c r="L1356" s="1182"/>
      <c r="M1356" s="1182"/>
      <c r="N1356" s="1182"/>
      <c r="O1356" s="1182"/>
      <c r="P1356" s="1182"/>
      <c r="Q1356" s="1182"/>
      <c r="R1356" s="1110"/>
      <c r="S1356" s="1160"/>
      <c r="T1356" s="1160"/>
      <c r="U1356" s="1160"/>
      <c r="V1356" s="1160"/>
      <c r="W1356" s="1160"/>
      <c r="X1356" s="1160"/>
      <c r="Y1356" s="1160"/>
      <c r="Z1356" s="1160"/>
      <c r="AA1356" s="1160"/>
      <c r="AB1356" s="1160"/>
      <c r="AC1356" s="1160"/>
      <c r="AD1356" s="1160"/>
      <c r="AE1356" s="1160"/>
      <c r="AF1356" s="1160"/>
      <c r="AG1356" s="1160"/>
      <c r="AH1356" s="1160"/>
      <c r="AI1356" s="1160"/>
      <c r="AJ1356" s="1160"/>
      <c r="AK1356" s="1160"/>
      <c r="AL1356" s="1160"/>
      <c r="AM1356" s="1160"/>
      <c r="AN1356" s="1160"/>
      <c r="AO1356" s="1160"/>
      <c r="AP1356" s="1160"/>
      <c r="AQ1356" s="1160"/>
      <c r="AR1356" s="1160"/>
      <c r="AS1356" s="1160"/>
      <c r="AT1356" s="1160"/>
      <c r="AU1356" s="1160"/>
      <c r="AV1356" s="1160"/>
      <c r="AW1356" s="1160"/>
      <c r="AX1356" s="1160"/>
      <c r="AY1356" s="1160"/>
      <c r="AZ1356" s="1160"/>
      <c r="BA1356" s="1160"/>
      <c r="BB1356" s="1160"/>
      <c r="BC1356" s="1160"/>
      <c r="BD1356" s="1160"/>
      <c r="BE1356" s="1160"/>
      <c r="BF1356" s="1160"/>
      <c r="BG1356" s="1160"/>
      <c r="BH1356" s="1160"/>
      <c r="BI1356" s="1160"/>
      <c r="BJ1356" s="1160"/>
      <c r="BK1356" s="1160"/>
      <c r="BL1356" s="1160"/>
      <c r="BM1356" s="1160"/>
      <c r="BN1356" s="1160"/>
      <c r="BO1356" s="1160"/>
      <c r="BP1356" s="1160"/>
      <c r="BQ1356" s="1160"/>
      <c r="BR1356" s="1160"/>
      <c r="BS1356" s="1160"/>
      <c r="BT1356" s="1160"/>
    </row>
    <row r="1357" spans="1:72" s="290" customFormat="1" ht="16.350000000000001" customHeight="1" outlineLevel="2" collapsed="1">
      <c r="A1357" s="1105"/>
      <c r="B1357" s="1181" t="s">
        <v>885</v>
      </c>
      <c r="C1357" s="1127"/>
      <c r="D1357" s="1127">
        <v>1389412000</v>
      </c>
      <c r="E1357" s="1127">
        <v>0</v>
      </c>
      <c r="F1357" s="1127">
        <v>1200387000</v>
      </c>
      <c r="G1357" s="1127">
        <v>0</v>
      </c>
      <c r="H1357" s="1127">
        <v>10005893000</v>
      </c>
      <c r="I1357" s="1127">
        <v>0</v>
      </c>
      <c r="J1357" s="1127">
        <v>0</v>
      </c>
      <c r="K1357" s="1127">
        <v>9832428000</v>
      </c>
      <c r="L1357" s="1182"/>
      <c r="M1357" s="1182"/>
      <c r="N1357" s="1182"/>
      <c r="O1357" s="1182"/>
      <c r="P1357" s="1182"/>
      <c r="Q1357" s="1182"/>
      <c r="R1357" s="1110"/>
      <c r="S1357" s="1160"/>
      <c r="T1357" s="1160"/>
      <c r="U1357" s="1160"/>
      <c r="V1357" s="1160"/>
      <c r="W1357" s="1160"/>
      <c r="X1357" s="1160"/>
      <c r="Y1357" s="1160"/>
      <c r="Z1357" s="1160"/>
      <c r="AA1357" s="1160"/>
      <c r="AB1357" s="1160"/>
      <c r="AC1357" s="1160"/>
      <c r="AD1357" s="1160"/>
      <c r="AE1357" s="1160"/>
      <c r="AF1357" s="1160"/>
      <c r="AG1357" s="1160"/>
      <c r="AH1357" s="1160"/>
      <c r="AI1357" s="1160"/>
      <c r="AJ1357" s="1160"/>
      <c r="AK1357" s="1160"/>
      <c r="AL1357" s="1160"/>
      <c r="AM1357" s="1160"/>
      <c r="AN1357" s="1160"/>
      <c r="AO1357" s="1160"/>
      <c r="AP1357" s="1160"/>
      <c r="AQ1357" s="1160"/>
      <c r="AR1357" s="1160"/>
      <c r="AS1357" s="1160"/>
      <c r="AT1357" s="1160"/>
      <c r="AU1357" s="1160"/>
      <c r="AV1357" s="1160"/>
      <c r="AW1357" s="1160"/>
      <c r="AX1357" s="1160"/>
      <c r="AY1357" s="1160"/>
      <c r="AZ1357" s="1160"/>
      <c r="BA1357" s="1160"/>
      <c r="BB1357" s="1160"/>
      <c r="BC1357" s="1160"/>
      <c r="BD1357" s="1160"/>
      <c r="BE1357" s="1160"/>
      <c r="BF1357" s="1160"/>
      <c r="BG1357" s="1160"/>
      <c r="BH1357" s="1160"/>
      <c r="BI1357" s="1160"/>
      <c r="BJ1357" s="1160"/>
      <c r="BK1357" s="1160"/>
      <c r="BL1357" s="1160"/>
      <c r="BM1357" s="1160"/>
      <c r="BN1357" s="1160"/>
      <c r="BO1357" s="1160"/>
      <c r="BP1357" s="1160"/>
      <c r="BQ1357" s="1160"/>
      <c r="BR1357" s="1160"/>
      <c r="BS1357" s="1160"/>
      <c r="BT1357" s="1160"/>
    </row>
    <row r="1358" spans="1:72" s="266" customFormat="1" ht="16.350000000000001" customHeight="1" outlineLevel="1">
      <c r="A1358" s="1105"/>
      <c r="B1358" s="1177" t="s">
        <v>886</v>
      </c>
      <c r="C1358" s="1178"/>
      <c r="D1358" s="1178">
        <v>228688153000</v>
      </c>
      <c r="E1358" s="1178">
        <v>189539224000</v>
      </c>
      <c r="F1358" s="1178">
        <f t="shared" ref="F1358:K1358" si="163">F1338+F1341+F1342+F1347+F1348+F1349+F1350+F1351</f>
        <v>158889557000</v>
      </c>
      <c r="G1358" s="1178">
        <f t="shared" si="163"/>
        <v>131816249000</v>
      </c>
      <c r="H1358" s="1179">
        <f t="shared" si="163"/>
        <v>105748717000</v>
      </c>
      <c r="I1358" s="1179">
        <f t="shared" si="163"/>
        <v>67259897000</v>
      </c>
      <c r="J1358" s="1179">
        <f t="shared" si="163"/>
        <v>57827001000</v>
      </c>
      <c r="K1358" s="1179">
        <f t="shared" si="163"/>
        <v>49274081000</v>
      </c>
      <c r="L1358" s="1180"/>
      <c r="M1358" s="1180"/>
      <c r="N1358" s="1180"/>
      <c r="O1358" s="1180"/>
      <c r="P1358" s="1180"/>
      <c r="Q1358" s="1180"/>
      <c r="R1358" s="1110"/>
    </row>
    <row r="1359" spans="1:72" s="1187" customFormat="1" ht="16.350000000000001" customHeight="1" outlineLevel="1">
      <c r="A1359" s="1105"/>
      <c r="B1359" s="1184"/>
      <c r="C1359" s="1185"/>
      <c r="D1359" s="1185"/>
      <c r="E1359" s="1185"/>
      <c r="F1359" s="1185"/>
      <c r="G1359" s="1185"/>
      <c r="H1359" s="1185"/>
      <c r="I1359" s="1185"/>
      <c r="J1359" s="1185"/>
      <c r="K1359" s="1185"/>
      <c r="L1359" s="1185"/>
      <c r="M1359" s="1185"/>
      <c r="N1359" s="1185"/>
      <c r="O1359" s="1185"/>
      <c r="P1359" s="1185"/>
      <c r="Q1359" s="1185"/>
      <c r="R1359" s="1110"/>
      <c r="S1359" s="1186"/>
      <c r="T1359" s="1186"/>
      <c r="U1359" s="1186"/>
      <c r="V1359" s="1186"/>
      <c r="W1359" s="1186"/>
      <c r="X1359" s="1186"/>
      <c r="Y1359" s="1186"/>
      <c r="Z1359" s="1186"/>
      <c r="AA1359" s="1186"/>
      <c r="AB1359" s="1186"/>
      <c r="AC1359" s="1186"/>
      <c r="AD1359" s="1186"/>
      <c r="AE1359" s="1186"/>
      <c r="AF1359" s="1186"/>
      <c r="AG1359" s="1186"/>
      <c r="AH1359" s="1186"/>
      <c r="AI1359" s="1186"/>
      <c r="AJ1359" s="1186"/>
      <c r="AK1359" s="1186"/>
      <c r="AL1359" s="1186"/>
      <c r="AM1359" s="1186"/>
      <c r="AN1359" s="1186"/>
      <c r="AO1359" s="1186"/>
      <c r="AP1359" s="1186"/>
      <c r="AQ1359" s="1186"/>
      <c r="AR1359" s="1186"/>
      <c r="AS1359" s="1186"/>
      <c r="AT1359" s="1186"/>
      <c r="AU1359" s="1186"/>
      <c r="AV1359" s="1186"/>
      <c r="AW1359" s="1186"/>
      <c r="AX1359" s="1186"/>
      <c r="AY1359" s="1186"/>
      <c r="AZ1359" s="1186"/>
      <c r="BA1359" s="1186"/>
      <c r="BB1359" s="1186"/>
      <c r="BC1359" s="1186"/>
      <c r="BD1359" s="1186"/>
      <c r="BE1359" s="1186"/>
      <c r="BF1359" s="1186"/>
      <c r="BG1359" s="1186"/>
      <c r="BH1359" s="1186"/>
      <c r="BI1359" s="1186"/>
      <c r="BJ1359" s="1186"/>
      <c r="BK1359" s="1186"/>
      <c r="BL1359" s="1186"/>
      <c r="BM1359" s="1186"/>
      <c r="BN1359" s="1186"/>
      <c r="BO1359" s="1186"/>
      <c r="BP1359" s="1186"/>
      <c r="BQ1359" s="1186"/>
      <c r="BR1359" s="1186"/>
      <c r="BS1359" s="1186"/>
      <c r="BT1359" s="1186"/>
    </row>
    <row r="1360" spans="1:72" s="1191" customFormat="1" ht="16.350000000000001" customHeight="1" outlineLevel="1">
      <c r="A1360" s="1105"/>
      <c r="B1360" s="1188" t="s">
        <v>887</v>
      </c>
      <c r="C1360" s="1189"/>
      <c r="D1360" s="1189">
        <v>611587689000</v>
      </c>
      <c r="E1360" s="1189">
        <v>526325247000</v>
      </c>
      <c r="F1360" s="1189">
        <f t="shared" ref="F1360:K1360" si="164">F1335+F1358</f>
        <v>454915486000</v>
      </c>
      <c r="G1360" s="1189">
        <f t="shared" si="164"/>
        <v>404192973000</v>
      </c>
      <c r="H1360" s="1189">
        <f t="shared" si="164"/>
        <v>344761333000</v>
      </c>
      <c r="I1360" s="1189">
        <f t="shared" si="164"/>
        <v>268180550000</v>
      </c>
      <c r="J1360" s="1189">
        <f t="shared" si="164"/>
        <v>220528255000</v>
      </c>
      <c r="K1360" s="1189">
        <f t="shared" si="164"/>
        <v>175381797000</v>
      </c>
      <c r="L1360" s="1189"/>
      <c r="M1360" s="1189"/>
      <c r="N1360" s="1189"/>
      <c r="O1360" s="1189"/>
      <c r="P1360" s="1189"/>
      <c r="Q1360" s="1189"/>
      <c r="R1360" s="1110"/>
      <c r="S1360" s="1190"/>
      <c r="T1360" s="1190"/>
      <c r="U1360" s="1190"/>
      <c r="V1360" s="1190"/>
      <c r="W1360" s="1190"/>
      <c r="X1360" s="1190"/>
      <c r="Y1360" s="1190"/>
      <c r="Z1360" s="1190"/>
      <c r="AA1360" s="1190"/>
      <c r="AB1360" s="1190"/>
      <c r="AC1360" s="1190"/>
      <c r="AD1360" s="1190"/>
      <c r="AE1360" s="1190"/>
      <c r="AF1360" s="1190"/>
      <c r="AG1360" s="1190"/>
      <c r="AH1360" s="1190"/>
      <c r="AI1360" s="1190"/>
      <c r="AJ1360" s="1190"/>
      <c r="AK1360" s="1190"/>
      <c r="AL1360" s="1190"/>
      <c r="AM1360" s="1190"/>
      <c r="AN1360" s="1190"/>
      <c r="AO1360" s="1190"/>
      <c r="AP1360" s="1190"/>
      <c r="AQ1360" s="1190"/>
      <c r="AR1360" s="1190"/>
      <c r="AS1360" s="1190"/>
      <c r="AT1360" s="1190"/>
      <c r="AU1360" s="1190"/>
      <c r="AV1360" s="1190"/>
      <c r="AW1360" s="1190"/>
      <c r="AX1360" s="1190"/>
      <c r="AY1360" s="1190"/>
      <c r="AZ1360" s="1190"/>
      <c r="BA1360" s="1190"/>
      <c r="BB1360" s="1190"/>
      <c r="BC1360" s="1190"/>
      <c r="BD1360" s="1190"/>
      <c r="BE1360" s="1190"/>
      <c r="BF1360" s="1190"/>
      <c r="BG1360" s="1190"/>
    </row>
    <row r="1361" spans="1:87" s="1125" customFormat="1" ht="16.350000000000001" customHeight="1" outlineLevel="1">
      <c r="A1361" s="1105"/>
      <c r="B1361" s="1192"/>
      <c r="C1361" s="1185"/>
      <c r="D1361" s="1185"/>
      <c r="E1361" s="1185"/>
      <c r="F1361" s="1185"/>
      <c r="G1361" s="1185"/>
      <c r="H1361" s="1185"/>
      <c r="I1361" s="1185"/>
      <c r="J1361" s="1185"/>
      <c r="K1361" s="1185"/>
      <c r="L1361" s="1193"/>
      <c r="M1361" s="1193"/>
      <c r="N1361" s="1193"/>
      <c r="O1361" s="1193"/>
      <c r="P1361" s="1193"/>
      <c r="Q1361" s="1193"/>
      <c r="R1361" s="1110"/>
      <c r="S1361" s="1124"/>
      <c r="T1361" s="1124"/>
      <c r="U1361" s="1124"/>
      <c r="V1361" s="1124"/>
      <c r="W1361" s="1124"/>
      <c r="X1361" s="1124"/>
      <c r="Y1361" s="1124"/>
      <c r="Z1361" s="1124"/>
      <c r="AA1361" s="1124"/>
      <c r="AB1361" s="1124"/>
      <c r="AC1361" s="1124"/>
      <c r="AD1361" s="1124"/>
      <c r="AE1361" s="1124"/>
      <c r="AF1361" s="1124"/>
      <c r="AG1361" s="1124"/>
      <c r="AH1361" s="1124"/>
      <c r="AI1361" s="1124"/>
      <c r="AJ1361" s="1124"/>
      <c r="AK1361" s="1124"/>
      <c r="AL1361" s="1124"/>
      <c r="AM1361" s="1124"/>
      <c r="AN1361" s="1124"/>
      <c r="AO1361" s="1124"/>
      <c r="AP1361" s="1124"/>
      <c r="AQ1361" s="1124"/>
      <c r="AR1361" s="1124"/>
      <c r="AS1361" s="1124"/>
      <c r="AT1361" s="1124"/>
      <c r="AU1361" s="1124"/>
      <c r="AV1361" s="1124"/>
      <c r="AW1361" s="1124"/>
      <c r="AX1361" s="1124"/>
      <c r="AY1361" s="1124"/>
      <c r="AZ1361" s="1124"/>
      <c r="BA1361" s="1124"/>
      <c r="BB1361" s="1124"/>
      <c r="BC1361" s="1124"/>
      <c r="BD1361" s="1124"/>
      <c r="BE1361" s="1124"/>
      <c r="BF1361" s="1124"/>
      <c r="BG1361" s="1124"/>
    </row>
    <row r="1362" spans="1:87" s="1112" customFormat="1" ht="16.350000000000001" customHeight="1" outlineLevel="1">
      <c r="A1362" s="1105"/>
      <c r="B1362" s="1113" t="s">
        <v>888</v>
      </c>
      <c r="C1362" s="1114"/>
      <c r="D1362" s="1114"/>
      <c r="E1362" s="1114"/>
      <c r="F1362" s="1114"/>
      <c r="G1362" s="1114"/>
      <c r="H1362" s="1114"/>
      <c r="I1362" s="1114"/>
      <c r="J1362" s="1114"/>
      <c r="K1362" s="1114"/>
      <c r="L1362" s="1115"/>
      <c r="M1362" s="1115"/>
      <c r="N1362" s="1115"/>
      <c r="O1362" s="1115"/>
      <c r="P1362" s="1115"/>
      <c r="Q1362" s="1115"/>
      <c r="R1362" s="1110"/>
      <c r="S1362" s="1111"/>
      <c r="T1362" s="1111"/>
      <c r="U1362" s="1111"/>
      <c r="V1362" s="1111"/>
      <c r="W1362" s="1111"/>
      <c r="X1362" s="1111"/>
      <c r="Y1362" s="1111"/>
      <c r="Z1362" s="1111"/>
      <c r="AA1362" s="1111"/>
      <c r="AB1362" s="1111"/>
      <c r="AC1362" s="1111"/>
      <c r="AD1362" s="1111"/>
      <c r="AE1362" s="1111"/>
      <c r="AF1362" s="1111"/>
      <c r="AG1362" s="1111"/>
      <c r="AH1362" s="1111"/>
      <c r="AI1362" s="1111"/>
      <c r="AJ1362" s="1111"/>
      <c r="AK1362" s="1111"/>
      <c r="AL1362" s="1111"/>
      <c r="AM1362" s="1111"/>
      <c r="AN1362" s="1111"/>
      <c r="AO1362" s="1111"/>
      <c r="AP1362" s="1111"/>
      <c r="AQ1362" s="1111"/>
      <c r="AR1362" s="1111"/>
      <c r="AS1362" s="1111"/>
      <c r="AT1362" s="1111"/>
      <c r="AU1362" s="1111"/>
      <c r="AV1362" s="1111"/>
      <c r="AW1362" s="1111"/>
      <c r="AX1362" s="1111"/>
      <c r="AY1362" s="1111"/>
      <c r="AZ1362" s="1111"/>
      <c r="BA1362" s="1111"/>
      <c r="BB1362" s="1111"/>
      <c r="BC1362" s="1111"/>
      <c r="BD1362" s="1111"/>
      <c r="BE1362" s="1111"/>
      <c r="BF1362" s="1111"/>
      <c r="BG1362" s="1111"/>
      <c r="BH1362" s="1111"/>
      <c r="BI1362" s="1111"/>
      <c r="BJ1362" s="1111"/>
      <c r="BK1362" s="1111"/>
      <c r="BL1362" s="1111"/>
      <c r="BM1362" s="1111"/>
      <c r="BN1362" s="1111"/>
      <c r="BO1362" s="1111"/>
      <c r="BP1362" s="1111"/>
      <c r="BQ1362" s="1111"/>
      <c r="BR1362" s="1111"/>
      <c r="BS1362" s="1111"/>
      <c r="BT1362" s="1111"/>
      <c r="BU1362" s="1111"/>
      <c r="BV1362" s="1111"/>
      <c r="BW1362" s="1111"/>
      <c r="BX1362" s="1111"/>
      <c r="BY1362" s="1111"/>
      <c r="BZ1362" s="1111"/>
      <c r="CA1362" s="1111"/>
      <c r="CB1362" s="1111"/>
      <c r="CC1362" s="1111"/>
      <c r="CD1362" s="1111"/>
      <c r="CE1362" s="1111"/>
      <c r="CF1362" s="1111"/>
      <c r="CG1362" s="1111"/>
      <c r="CH1362" s="1111"/>
      <c r="CI1362" s="1111"/>
    </row>
    <row r="1363" spans="1:87" s="419" customFormat="1" ht="16.350000000000001" customHeight="1" outlineLevel="1">
      <c r="A1363" s="1105"/>
      <c r="B1363" s="1116" t="s">
        <v>889</v>
      </c>
      <c r="C1363" s="1194"/>
      <c r="D1363" s="1194"/>
      <c r="E1363" s="1194"/>
      <c r="F1363" s="1194"/>
      <c r="G1363" s="1194"/>
      <c r="H1363" s="1118"/>
      <c r="I1363" s="1118"/>
      <c r="J1363" s="1118"/>
      <c r="K1363" s="1118"/>
      <c r="L1363" s="1118"/>
      <c r="M1363" s="1118"/>
      <c r="N1363" s="1118"/>
      <c r="O1363" s="1118"/>
      <c r="P1363" s="1118"/>
      <c r="Q1363" s="1118"/>
      <c r="R1363" s="1110"/>
      <c r="S1363" s="1120"/>
      <c r="T1363" s="1120"/>
      <c r="U1363" s="1120"/>
      <c r="V1363" s="1120"/>
      <c r="W1363" s="1120"/>
      <c r="X1363" s="1120"/>
      <c r="Y1363" s="1120"/>
      <c r="Z1363" s="1120"/>
      <c r="AA1363" s="1120"/>
      <c r="AB1363" s="1120"/>
      <c r="AC1363" s="1120"/>
      <c r="AD1363" s="1120"/>
      <c r="AE1363" s="1120"/>
      <c r="AF1363" s="1120"/>
      <c r="AG1363" s="1120"/>
      <c r="AH1363" s="1120"/>
      <c r="AI1363" s="1120"/>
      <c r="AJ1363" s="1120"/>
      <c r="AK1363" s="1120"/>
      <c r="AL1363" s="1120"/>
      <c r="AM1363" s="1120"/>
      <c r="AN1363" s="1120"/>
      <c r="AO1363" s="1120"/>
      <c r="AP1363" s="1120"/>
      <c r="AQ1363" s="1120"/>
      <c r="AR1363" s="1120"/>
      <c r="AS1363" s="1120"/>
      <c r="AT1363" s="1120"/>
      <c r="AU1363" s="1120"/>
      <c r="AV1363" s="1120"/>
      <c r="AW1363" s="1120"/>
      <c r="AX1363" s="1120"/>
      <c r="AY1363" s="1120"/>
      <c r="AZ1363" s="1120"/>
      <c r="BA1363" s="1120"/>
      <c r="BB1363" s="1120"/>
      <c r="BC1363" s="1120"/>
      <c r="BD1363" s="1120"/>
      <c r="BE1363" s="1120"/>
      <c r="BF1363" s="1120"/>
      <c r="BG1363" s="1120"/>
    </row>
    <row r="1364" spans="1:87" s="1125" customFormat="1" ht="16.350000000000001" customHeight="1" outlineLevel="1">
      <c r="A1364" s="1105"/>
      <c r="B1364" s="1121" t="s">
        <v>890</v>
      </c>
      <c r="C1364" s="1194"/>
      <c r="D1364" s="1194">
        <v>93736140000</v>
      </c>
      <c r="E1364" s="1194">
        <v>86338130000</v>
      </c>
      <c r="F1364" s="1194">
        <v>77499900000</v>
      </c>
      <c r="G1364" s="1194">
        <f>G1365+G1382+G1396</f>
        <v>59411188000</v>
      </c>
      <c r="H1364" s="1194">
        <f>H1365+H1382+H1396</f>
        <v>44410135000</v>
      </c>
      <c r="I1364" s="1194">
        <f>I1365+I1382+I1396</f>
        <v>37441500000</v>
      </c>
      <c r="J1364" s="1194">
        <f>J1365+J1382+J1396</f>
        <v>38246720000</v>
      </c>
      <c r="K1364" s="1194">
        <f>K1365+K1382+K1396</f>
        <v>45849986000</v>
      </c>
      <c r="L1364" s="1195"/>
      <c r="M1364" s="1195"/>
      <c r="N1364" s="1195"/>
      <c r="O1364" s="1195"/>
      <c r="P1364" s="1195"/>
      <c r="Q1364" s="1195"/>
      <c r="R1364" s="1110"/>
      <c r="S1364" s="1124"/>
      <c r="T1364" s="1124"/>
      <c r="U1364" s="1124"/>
      <c r="V1364" s="1124"/>
      <c r="W1364" s="1124"/>
      <c r="X1364" s="1124"/>
      <c r="Y1364" s="1124"/>
      <c r="Z1364" s="1124"/>
      <c r="AA1364" s="1124"/>
      <c r="AB1364" s="1124"/>
      <c r="AC1364" s="1124"/>
      <c r="AD1364" s="1124"/>
      <c r="AE1364" s="1124"/>
      <c r="AF1364" s="1124"/>
      <c r="AG1364" s="1124"/>
      <c r="AH1364" s="1124"/>
      <c r="AI1364" s="1124"/>
      <c r="AJ1364" s="1124"/>
      <c r="AK1364" s="1124"/>
      <c r="AL1364" s="1124"/>
      <c r="AM1364" s="1124"/>
      <c r="AN1364" s="1124"/>
      <c r="AO1364" s="1124"/>
      <c r="AP1364" s="1124"/>
      <c r="AQ1364" s="1124"/>
      <c r="AR1364" s="1124"/>
      <c r="AS1364" s="1124"/>
      <c r="AT1364" s="1124"/>
      <c r="AU1364" s="1124"/>
      <c r="AV1364" s="1124"/>
      <c r="AW1364" s="1124"/>
      <c r="AX1364" s="1124"/>
      <c r="AY1364" s="1124"/>
      <c r="AZ1364" s="1124"/>
      <c r="BA1364" s="1124"/>
      <c r="BB1364" s="1124"/>
      <c r="BC1364" s="1124"/>
      <c r="BD1364" s="1124"/>
      <c r="BE1364" s="1124"/>
      <c r="BF1364" s="1124"/>
      <c r="BG1364" s="1124"/>
      <c r="BH1364" s="1124"/>
      <c r="BI1364" s="1124"/>
      <c r="BJ1364" s="1124"/>
      <c r="BK1364" s="1124"/>
      <c r="BL1364" s="1124"/>
      <c r="BM1364" s="1124"/>
      <c r="BN1364" s="1124"/>
      <c r="BO1364" s="1124"/>
      <c r="BP1364" s="1124"/>
      <c r="BQ1364" s="1124"/>
      <c r="BR1364" s="1124"/>
      <c r="BS1364" s="1124"/>
      <c r="BT1364" s="1124"/>
    </row>
    <row r="1365" spans="1:87" s="1125" customFormat="1" ht="16.350000000000001" customHeight="1" outlineLevel="2">
      <c r="A1365" s="1105"/>
      <c r="B1365" s="1153" t="s">
        <v>891</v>
      </c>
      <c r="C1365" s="1194"/>
      <c r="D1365" s="1194"/>
      <c r="E1365" s="1194"/>
      <c r="F1365" s="1194">
        <f>F1368+F1369</f>
        <v>57527646000</v>
      </c>
      <c r="G1365" s="1194">
        <f>SUM(G1370:G1381)</f>
        <v>29450658000</v>
      </c>
      <c r="H1365" s="1194">
        <f>SUM(H1370:H1381)</f>
        <v>29438669000</v>
      </c>
      <c r="I1365" s="1194">
        <f>SUM(I1370:I1381)</f>
        <v>28958096000</v>
      </c>
      <c r="J1365" s="1194">
        <f>SUM(J1370:J1381)</f>
        <v>35490510000</v>
      </c>
      <c r="K1365" s="1194">
        <f>SUM(K1370:K1381)</f>
        <v>30478757000</v>
      </c>
      <c r="L1365" s="1195"/>
      <c r="M1365" s="1195"/>
      <c r="N1365" s="1195"/>
      <c r="O1365" s="1195"/>
      <c r="P1365" s="1195"/>
      <c r="Q1365" s="1195"/>
      <c r="R1365" s="1110"/>
      <c r="S1365" s="1124"/>
      <c r="T1365" s="1124"/>
      <c r="U1365" s="1124"/>
      <c r="V1365" s="1124"/>
      <c r="W1365" s="1124"/>
      <c r="X1365" s="1124"/>
      <c r="Y1365" s="1124"/>
      <c r="Z1365" s="1124"/>
      <c r="AA1365" s="1124"/>
      <c r="AB1365" s="1124"/>
      <c r="AC1365" s="1124"/>
      <c r="AD1365" s="1124"/>
      <c r="AE1365" s="1124"/>
      <c r="AF1365" s="1124"/>
      <c r="AG1365" s="1124"/>
      <c r="AH1365" s="1124"/>
      <c r="AI1365" s="1124"/>
      <c r="AJ1365" s="1124"/>
      <c r="AK1365" s="1124"/>
      <c r="AL1365" s="1124"/>
      <c r="AM1365" s="1124"/>
      <c r="AN1365" s="1124"/>
      <c r="AO1365" s="1124"/>
      <c r="AP1365" s="1124"/>
      <c r="AQ1365" s="1124"/>
      <c r="AR1365" s="1124"/>
      <c r="AS1365" s="1124"/>
      <c r="AT1365" s="1124"/>
      <c r="AU1365" s="1124"/>
      <c r="AV1365" s="1124"/>
      <c r="AW1365" s="1124"/>
      <c r="AX1365" s="1124"/>
      <c r="AY1365" s="1124"/>
      <c r="AZ1365" s="1124"/>
      <c r="BA1365" s="1124"/>
      <c r="BB1365" s="1124"/>
      <c r="BC1365" s="1124"/>
      <c r="BD1365" s="1124"/>
      <c r="BE1365" s="1124"/>
      <c r="BF1365" s="1124"/>
      <c r="BG1365" s="1124"/>
      <c r="BH1365" s="1124"/>
      <c r="BI1365" s="1124"/>
      <c r="BJ1365" s="1124"/>
      <c r="BK1365" s="1124"/>
      <c r="BL1365" s="1124"/>
      <c r="BM1365" s="1124"/>
      <c r="BN1365" s="1124"/>
      <c r="BO1365" s="1124"/>
      <c r="BP1365" s="1124"/>
      <c r="BQ1365" s="1124"/>
      <c r="BR1365" s="1124"/>
      <c r="BS1365" s="1124"/>
      <c r="BT1365" s="1124"/>
    </row>
    <row r="1366" spans="1:87" s="1125" customFormat="1" ht="16.350000000000001" customHeight="1" outlineLevel="2">
      <c r="A1366" s="1105"/>
      <c r="B1366" s="1153" t="s">
        <v>892</v>
      </c>
      <c r="C1366" s="1194"/>
      <c r="D1366" s="1194">
        <v>65837515000</v>
      </c>
      <c r="E1366" s="1194">
        <v>13543612000</v>
      </c>
      <c r="F1366" s="1194"/>
      <c r="G1366" s="1194"/>
      <c r="H1366" s="1194"/>
      <c r="I1366" s="1194"/>
      <c r="J1366" s="1194"/>
      <c r="K1366" s="1194"/>
      <c r="L1366" s="1195"/>
      <c r="M1366" s="1195"/>
      <c r="N1366" s="1195"/>
      <c r="O1366" s="1195"/>
      <c r="P1366" s="1195"/>
      <c r="Q1366" s="1195"/>
      <c r="R1366" s="1110"/>
      <c r="S1366" s="1124"/>
      <c r="T1366" s="1124"/>
      <c r="U1366" s="1124"/>
      <c r="V1366" s="1124"/>
      <c r="W1366" s="1124"/>
      <c r="X1366" s="1124"/>
      <c r="Y1366" s="1124"/>
      <c r="Z1366" s="1124"/>
      <c r="AA1366" s="1124"/>
      <c r="AB1366" s="1124"/>
      <c r="AC1366" s="1124"/>
      <c r="AD1366" s="1124"/>
      <c r="AE1366" s="1124"/>
      <c r="AF1366" s="1124"/>
      <c r="AG1366" s="1124"/>
      <c r="AH1366" s="1124"/>
      <c r="AI1366" s="1124"/>
      <c r="AJ1366" s="1124"/>
      <c r="AK1366" s="1124"/>
      <c r="AL1366" s="1124"/>
      <c r="AM1366" s="1124"/>
      <c r="AN1366" s="1124"/>
      <c r="AO1366" s="1124"/>
      <c r="AP1366" s="1124"/>
      <c r="AQ1366" s="1124"/>
      <c r="AR1366" s="1124"/>
      <c r="AS1366" s="1124"/>
      <c r="AT1366" s="1124"/>
      <c r="AU1366" s="1124"/>
      <c r="AV1366" s="1124"/>
      <c r="AW1366" s="1124"/>
      <c r="AX1366" s="1124"/>
      <c r="AY1366" s="1124"/>
      <c r="AZ1366" s="1124"/>
      <c r="BA1366" s="1124"/>
      <c r="BB1366" s="1124"/>
      <c r="BC1366" s="1124"/>
      <c r="BD1366" s="1124"/>
      <c r="BE1366" s="1124"/>
      <c r="BF1366" s="1124"/>
      <c r="BG1366" s="1124"/>
      <c r="BH1366" s="1124"/>
      <c r="BI1366" s="1124"/>
      <c r="BJ1366" s="1124"/>
      <c r="BK1366" s="1124"/>
      <c r="BL1366" s="1124"/>
      <c r="BM1366" s="1124"/>
      <c r="BN1366" s="1124"/>
      <c r="BO1366" s="1124"/>
      <c r="BP1366" s="1124"/>
      <c r="BQ1366" s="1124"/>
      <c r="BR1366" s="1124"/>
      <c r="BS1366" s="1124"/>
      <c r="BT1366" s="1124"/>
    </row>
    <row r="1367" spans="1:87" s="1125" customFormat="1" ht="16.350000000000001" customHeight="1" outlineLevel="2">
      <c r="A1367" s="1105"/>
      <c r="B1367" s="1153" t="s">
        <v>893</v>
      </c>
      <c r="C1367" s="1194"/>
      <c r="D1367" s="1194">
        <v>28200000000</v>
      </c>
      <c r="E1367" s="1194"/>
      <c r="F1367" s="1194"/>
      <c r="G1367" s="1194"/>
      <c r="H1367" s="1194"/>
      <c r="I1367" s="1194"/>
      <c r="J1367" s="1194"/>
      <c r="K1367" s="1194"/>
      <c r="L1367" s="1195"/>
      <c r="M1367" s="1195"/>
      <c r="N1367" s="1195"/>
      <c r="O1367" s="1195"/>
      <c r="P1367" s="1195"/>
      <c r="Q1367" s="1195"/>
      <c r="R1367" s="1110"/>
      <c r="S1367" s="1124"/>
      <c r="T1367" s="1124"/>
      <c r="U1367" s="1124"/>
      <c r="V1367" s="1124"/>
      <c r="W1367" s="1124"/>
      <c r="X1367" s="1124"/>
      <c r="Y1367" s="1124"/>
      <c r="Z1367" s="1124"/>
      <c r="AA1367" s="1124"/>
      <c r="AB1367" s="1124"/>
      <c r="AC1367" s="1124"/>
      <c r="AD1367" s="1124"/>
      <c r="AE1367" s="1124"/>
      <c r="AF1367" s="1124"/>
      <c r="AG1367" s="1124"/>
      <c r="AH1367" s="1124"/>
      <c r="AI1367" s="1124"/>
      <c r="AJ1367" s="1124"/>
      <c r="AK1367" s="1124"/>
      <c r="AL1367" s="1124"/>
      <c r="AM1367" s="1124"/>
      <c r="AN1367" s="1124"/>
      <c r="AO1367" s="1124"/>
      <c r="AP1367" s="1124"/>
      <c r="AQ1367" s="1124"/>
      <c r="AR1367" s="1124"/>
      <c r="AS1367" s="1124"/>
      <c r="AT1367" s="1124"/>
      <c r="AU1367" s="1124"/>
      <c r="AV1367" s="1124"/>
      <c r="AW1367" s="1124"/>
      <c r="AX1367" s="1124"/>
      <c r="AY1367" s="1124"/>
      <c r="AZ1367" s="1124"/>
      <c r="BA1367" s="1124"/>
      <c r="BB1367" s="1124"/>
      <c r="BC1367" s="1124"/>
      <c r="BD1367" s="1124"/>
      <c r="BE1367" s="1124"/>
      <c r="BF1367" s="1124"/>
      <c r="BG1367" s="1124"/>
      <c r="BH1367" s="1124"/>
      <c r="BI1367" s="1124"/>
      <c r="BJ1367" s="1124"/>
      <c r="BK1367" s="1124"/>
      <c r="BL1367" s="1124"/>
      <c r="BM1367" s="1124"/>
      <c r="BN1367" s="1124"/>
      <c r="BO1367" s="1124"/>
      <c r="BP1367" s="1124"/>
      <c r="BQ1367" s="1124"/>
      <c r="BR1367" s="1124"/>
      <c r="BS1367" s="1124"/>
      <c r="BT1367" s="1124"/>
    </row>
    <row r="1368" spans="1:87" s="1125" customFormat="1" ht="16.350000000000001" customHeight="1" outlineLevel="2">
      <c r="A1368" s="1105"/>
      <c r="B1368" s="1153" t="s">
        <v>894</v>
      </c>
      <c r="C1368" s="1194"/>
      <c r="D1368" s="1194"/>
      <c r="E1368" s="1194">
        <v>72831616000</v>
      </c>
      <c r="F1368" s="1194">
        <v>10002702000</v>
      </c>
      <c r="G1368" s="1194"/>
      <c r="H1368" s="1194"/>
      <c r="I1368" s="1194"/>
      <c r="J1368" s="1194"/>
      <c r="K1368" s="1194"/>
      <c r="L1368" s="1195"/>
      <c r="M1368" s="1195"/>
      <c r="N1368" s="1195"/>
      <c r="O1368" s="1195"/>
      <c r="P1368" s="1195"/>
      <c r="Q1368" s="1195"/>
      <c r="R1368" s="1110"/>
      <c r="S1368" s="1124"/>
      <c r="T1368" s="1124"/>
      <c r="U1368" s="1124"/>
      <c r="V1368" s="1124"/>
      <c r="W1368" s="1124"/>
      <c r="X1368" s="1124"/>
      <c r="Y1368" s="1124"/>
      <c r="Z1368" s="1124"/>
      <c r="AA1368" s="1124"/>
      <c r="AB1368" s="1124"/>
      <c r="AC1368" s="1124"/>
      <c r="AD1368" s="1124"/>
      <c r="AE1368" s="1124"/>
      <c r="AF1368" s="1124"/>
      <c r="AG1368" s="1124"/>
      <c r="AH1368" s="1124"/>
      <c r="AI1368" s="1124"/>
      <c r="AJ1368" s="1124"/>
      <c r="AK1368" s="1124"/>
      <c r="AL1368" s="1124"/>
      <c r="AM1368" s="1124"/>
      <c r="AN1368" s="1124"/>
      <c r="AO1368" s="1124"/>
      <c r="AP1368" s="1124"/>
      <c r="AQ1368" s="1124"/>
      <c r="AR1368" s="1124"/>
      <c r="AS1368" s="1124"/>
      <c r="AT1368" s="1124"/>
      <c r="AU1368" s="1124"/>
      <c r="AV1368" s="1124"/>
      <c r="AW1368" s="1124"/>
      <c r="AX1368" s="1124"/>
      <c r="AY1368" s="1124"/>
      <c r="AZ1368" s="1124"/>
      <c r="BA1368" s="1124"/>
      <c r="BB1368" s="1124"/>
      <c r="BC1368" s="1124"/>
      <c r="BD1368" s="1124"/>
      <c r="BE1368" s="1124"/>
      <c r="BF1368" s="1124"/>
      <c r="BG1368" s="1124"/>
      <c r="BH1368" s="1124"/>
      <c r="BI1368" s="1124"/>
      <c r="BJ1368" s="1124"/>
      <c r="BK1368" s="1124"/>
      <c r="BL1368" s="1124"/>
      <c r="BM1368" s="1124"/>
      <c r="BN1368" s="1124"/>
      <c r="BO1368" s="1124"/>
      <c r="BP1368" s="1124"/>
      <c r="BQ1368" s="1124"/>
      <c r="BR1368" s="1124"/>
      <c r="BS1368" s="1124"/>
      <c r="BT1368" s="1124"/>
    </row>
    <row r="1369" spans="1:87" s="1125" customFormat="1" ht="16.350000000000001" customHeight="1" outlineLevel="2">
      <c r="A1369" s="1105"/>
      <c r="B1369" s="1153" t="s">
        <v>895</v>
      </c>
      <c r="C1369" s="1194"/>
      <c r="D1369" s="1194"/>
      <c r="E1369" s="1194">
        <v>0</v>
      </c>
      <c r="F1369" s="1194">
        <v>47524944000</v>
      </c>
      <c r="G1369" s="1194"/>
      <c r="H1369" s="1194"/>
      <c r="I1369" s="1194"/>
      <c r="J1369" s="1194"/>
      <c r="K1369" s="1194"/>
      <c r="L1369" s="1195"/>
      <c r="M1369" s="1195"/>
      <c r="N1369" s="1195"/>
      <c r="O1369" s="1195"/>
      <c r="P1369" s="1195"/>
      <c r="Q1369" s="1195"/>
      <c r="R1369" s="1110"/>
      <c r="S1369" s="1124"/>
      <c r="T1369" s="1124"/>
      <c r="U1369" s="1124"/>
      <c r="V1369" s="1124"/>
      <c r="W1369" s="1124"/>
      <c r="X1369" s="1124"/>
      <c r="Y1369" s="1124"/>
      <c r="Z1369" s="1124"/>
      <c r="AA1369" s="1124"/>
      <c r="AB1369" s="1124"/>
      <c r="AC1369" s="1124"/>
      <c r="AD1369" s="1124"/>
      <c r="AE1369" s="1124"/>
      <c r="AF1369" s="1124"/>
      <c r="AG1369" s="1124"/>
      <c r="AH1369" s="1124"/>
      <c r="AI1369" s="1124"/>
      <c r="AJ1369" s="1124"/>
      <c r="AK1369" s="1124"/>
      <c r="AL1369" s="1124"/>
      <c r="AM1369" s="1124"/>
      <c r="AN1369" s="1124"/>
      <c r="AO1369" s="1124"/>
      <c r="AP1369" s="1124"/>
      <c r="AQ1369" s="1124"/>
      <c r="AR1369" s="1124"/>
      <c r="AS1369" s="1124"/>
      <c r="AT1369" s="1124"/>
      <c r="AU1369" s="1124"/>
      <c r="AV1369" s="1124"/>
      <c r="AW1369" s="1124"/>
      <c r="AX1369" s="1124"/>
      <c r="AY1369" s="1124"/>
      <c r="AZ1369" s="1124"/>
      <c r="BA1369" s="1124"/>
      <c r="BB1369" s="1124"/>
      <c r="BC1369" s="1124"/>
      <c r="BD1369" s="1124"/>
      <c r="BE1369" s="1124"/>
      <c r="BF1369" s="1124"/>
      <c r="BG1369" s="1124"/>
      <c r="BH1369" s="1124"/>
      <c r="BI1369" s="1124"/>
      <c r="BJ1369" s="1124"/>
      <c r="BK1369" s="1124"/>
      <c r="BL1369" s="1124"/>
      <c r="BM1369" s="1124"/>
      <c r="BN1369" s="1124"/>
      <c r="BO1369" s="1124"/>
      <c r="BP1369" s="1124"/>
      <c r="BQ1369" s="1124"/>
      <c r="BR1369" s="1124"/>
      <c r="BS1369" s="1124"/>
      <c r="BT1369" s="1124"/>
    </row>
    <row r="1370" spans="1:87" s="450" customFormat="1" ht="16.350000000000001" customHeight="1" outlineLevel="3">
      <c r="A1370" s="1196"/>
      <c r="B1370" s="1197" t="s">
        <v>896</v>
      </c>
      <c r="C1370" s="1198"/>
      <c r="D1370" s="1198"/>
      <c r="E1370" s="1198"/>
      <c r="F1370" s="1198">
        <v>0</v>
      </c>
      <c r="G1370" s="1198">
        <v>29450658000</v>
      </c>
      <c r="H1370" s="1198">
        <v>19448565000</v>
      </c>
      <c r="I1370" s="1198"/>
      <c r="J1370" s="1198"/>
      <c r="K1370" s="1198"/>
      <c r="L1370" s="1198"/>
      <c r="M1370" s="1198"/>
      <c r="N1370" s="1198"/>
      <c r="O1370" s="1198"/>
      <c r="P1370" s="1198"/>
      <c r="Q1370" s="1198"/>
      <c r="R1370" s="1183"/>
      <c r="S1370" s="1135"/>
      <c r="T1370" s="1135"/>
      <c r="U1370" s="1135"/>
      <c r="V1370" s="1135"/>
      <c r="W1370" s="1135"/>
      <c r="X1370" s="1135"/>
      <c r="Y1370" s="1135"/>
      <c r="Z1370" s="1135"/>
      <c r="AA1370" s="1135"/>
      <c r="AB1370" s="1135"/>
      <c r="AC1370" s="1135"/>
      <c r="AD1370" s="1135"/>
      <c r="AE1370" s="1135"/>
      <c r="AF1370" s="1135"/>
      <c r="AG1370" s="1135"/>
      <c r="AH1370" s="1135"/>
      <c r="AI1370" s="1135"/>
      <c r="AJ1370" s="1135"/>
      <c r="AK1370" s="1135"/>
      <c r="AL1370" s="1135"/>
      <c r="AM1370" s="1135"/>
      <c r="AN1370" s="1135"/>
      <c r="AO1370" s="1135"/>
      <c r="AP1370" s="1135"/>
      <c r="AQ1370" s="1135"/>
      <c r="AR1370" s="1135"/>
      <c r="AS1370" s="1135"/>
      <c r="AT1370" s="1135"/>
      <c r="AU1370" s="1135"/>
      <c r="AV1370" s="1135"/>
      <c r="AW1370" s="1135"/>
      <c r="AX1370" s="1135"/>
      <c r="AY1370" s="1135"/>
      <c r="AZ1370" s="1135"/>
      <c r="BA1370" s="1135"/>
      <c r="BB1370" s="1135"/>
      <c r="BC1370" s="1135"/>
      <c r="BD1370" s="1135"/>
      <c r="BE1370" s="1135"/>
      <c r="BF1370" s="1135"/>
      <c r="BG1370" s="1135"/>
      <c r="BH1370" s="1135"/>
      <c r="BI1370" s="1135"/>
      <c r="BJ1370" s="1135"/>
      <c r="BK1370" s="1135"/>
      <c r="BL1370" s="1135"/>
      <c r="BM1370" s="1135"/>
      <c r="BN1370" s="1135"/>
      <c r="BO1370" s="1135"/>
      <c r="BP1370" s="1135"/>
      <c r="BQ1370" s="1135"/>
      <c r="BR1370" s="1135"/>
      <c r="BS1370" s="1135"/>
      <c r="BT1370" s="1135"/>
    </row>
    <row r="1371" spans="1:87" s="450" customFormat="1" ht="16.350000000000001" customHeight="1" outlineLevel="3">
      <c r="A1371" s="1196"/>
      <c r="B1371" s="1197" t="s">
        <v>897</v>
      </c>
      <c r="C1371" s="1198"/>
      <c r="D1371" s="1198"/>
      <c r="E1371" s="1198"/>
      <c r="F1371" s="1198">
        <v>0</v>
      </c>
      <c r="G1371" s="1198"/>
      <c r="H1371" s="1198">
        <v>9990104000</v>
      </c>
      <c r="I1371" s="1198"/>
      <c r="J1371" s="1198"/>
      <c r="K1371" s="1198"/>
      <c r="L1371" s="1198"/>
      <c r="M1371" s="1198"/>
      <c r="N1371" s="1198"/>
      <c r="O1371" s="1198"/>
      <c r="P1371" s="1198"/>
      <c r="Q1371" s="1198"/>
      <c r="R1371" s="1183"/>
      <c r="S1371" s="1135"/>
      <c r="T1371" s="1135"/>
      <c r="U1371" s="1135"/>
      <c r="V1371" s="1135"/>
      <c r="W1371" s="1135"/>
      <c r="X1371" s="1135"/>
      <c r="Y1371" s="1135"/>
      <c r="Z1371" s="1135"/>
      <c r="AA1371" s="1135"/>
      <c r="AB1371" s="1135"/>
      <c r="AC1371" s="1135"/>
      <c r="AD1371" s="1135"/>
      <c r="AE1371" s="1135"/>
      <c r="AF1371" s="1135"/>
      <c r="AG1371" s="1135"/>
      <c r="AH1371" s="1135"/>
      <c r="AI1371" s="1135"/>
      <c r="AJ1371" s="1135"/>
      <c r="AK1371" s="1135"/>
      <c r="AL1371" s="1135"/>
      <c r="AM1371" s="1135"/>
      <c r="AN1371" s="1135"/>
      <c r="AO1371" s="1135"/>
      <c r="AP1371" s="1135"/>
      <c r="AQ1371" s="1135"/>
      <c r="AR1371" s="1135"/>
      <c r="AS1371" s="1135"/>
      <c r="AT1371" s="1135"/>
      <c r="AU1371" s="1135"/>
      <c r="AV1371" s="1135"/>
      <c r="AW1371" s="1135"/>
      <c r="AX1371" s="1135"/>
      <c r="AY1371" s="1135"/>
      <c r="AZ1371" s="1135"/>
      <c r="BA1371" s="1135"/>
      <c r="BB1371" s="1135"/>
      <c r="BC1371" s="1135"/>
      <c r="BD1371" s="1135"/>
      <c r="BE1371" s="1135"/>
      <c r="BF1371" s="1135"/>
      <c r="BG1371" s="1135"/>
      <c r="BH1371" s="1135"/>
      <c r="BI1371" s="1135"/>
      <c r="BJ1371" s="1135"/>
      <c r="BK1371" s="1135"/>
      <c r="BL1371" s="1135"/>
      <c r="BM1371" s="1135"/>
      <c r="BN1371" s="1135"/>
      <c r="BO1371" s="1135"/>
      <c r="BP1371" s="1135"/>
      <c r="BQ1371" s="1135"/>
      <c r="BR1371" s="1135"/>
      <c r="BS1371" s="1135"/>
      <c r="BT1371" s="1135"/>
    </row>
    <row r="1372" spans="1:87" s="450" customFormat="1" ht="16.350000000000001" customHeight="1" outlineLevel="3">
      <c r="A1372" s="1196"/>
      <c r="B1372" s="1197" t="s">
        <v>898</v>
      </c>
      <c r="C1372" s="1198"/>
      <c r="D1372" s="1198"/>
      <c r="E1372" s="1198"/>
      <c r="F1372" s="1198"/>
      <c r="G1372" s="1198"/>
      <c r="H1372" s="1198"/>
      <c r="I1372" s="1198">
        <v>18966986000</v>
      </c>
      <c r="J1372" s="1198"/>
      <c r="K1372" s="1198"/>
      <c r="L1372" s="1198"/>
      <c r="M1372" s="1198"/>
      <c r="N1372" s="1198"/>
      <c r="O1372" s="1198"/>
      <c r="P1372" s="1198"/>
      <c r="Q1372" s="1198"/>
      <c r="R1372" s="1183"/>
      <c r="S1372" s="1135"/>
      <c r="T1372" s="1135"/>
      <c r="U1372" s="1135"/>
      <c r="V1372" s="1135"/>
      <c r="W1372" s="1135"/>
      <c r="X1372" s="1135"/>
      <c r="Y1372" s="1135"/>
      <c r="Z1372" s="1135"/>
      <c r="AA1372" s="1135"/>
      <c r="AB1372" s="1135"/>
      <c r="AC1372" s="1135"/>
      <c r="AD1372" s="1135"/>
      <c r="AE1372" s="1135"/>
      <c r="AF1372" s="1135"/>
      <c r="AG1372" s="1135"/>
      <c r="AH1372" s="1135"/>
      <c r="AI1372" s="1135"/>
      <c r="AJ1372" s="1135"/>
      <c r="AK1372" s="1135"/>
      <c r="AL1372" s="1135"/>
      <c r="AM1372" s="1135"/>
      <c r="AN1372" s="1135"/>
      <c r="AO1372" s="1135"/>
      <c r="AP1372" s="1135"/>
      <c r="AQ1372" s="1135"/>
      <c r="AR1372" s="1135"/>
      <c r="AS1372" s="1135"/>
      <c r="AT1372" s="1135"/>
      <c r="AU1372" s="1135"/>
      <c r="AV1372" s="1135"/>
      <c r="AW1372" s="1135"/>
      <c r="AX1372" s="1135"/>
      <c r="AY1372" s="1135"/>
      <c r="AZ1372" s="1135"/>
      <c r="BA1372" s="1135"/>
      <c r="BB1372" s="1135"/>
      <c r="BC1372" s="1135"/>
      <c r="BD1372" s="1135"/>
      <c r="BE1372" s="1135"/>
      <c r="BF1372" s="1135"/>
      <c r="BG1372" s="1135"/>
      <c r="BH1372" s="1135"/>
      <c r="BI1372" s="1135"/>
      <c r="BJ1372" s="1135"/>
      <c r="BK1372" s="1135"/>
      <c r="BL1372" s="1135"/>
      <c r="BM1372" s="1135"/>
      <c r="BN1372" s="1135"/>
      <c r="BO1372" s="1135"/>
      <c r="BP1372" s="1135"/>
      <c r="BQ1372" s="1135"/>
      <c r="BR1372" s="1135"/>
      <c r="BS1372" s="1135"/>
      <c r="BT1372" s="1135"/>
    </row>
    <row r="1373" spans="1:87" s="450" customFormat="1" ht="16.350000000000001" customHeight="1" outlineLevel="3">
      <c r="A1373" s="1196"/>
      <c r="B1373" s="1197" t="s">
        <v>899</v>
      </c>
      <c r="C1373" s="1198"/>
      <c r="D1373" s="1198"/>
      <c r="E1373" s="1198"/>
      <c r="F1373" s="1198"/>
      <c r="G1373" s="1198"/>
      <c r="H1373" s="1198"/>
      <c r="I1373" s="1198"/>
      <c r="J1373" s="1198">
        <v>12492001000</v>
      </c>
      <c r="K1373" s="1198"/>
      <c r="L1373" s="1198"/>
      <c r="M1373" s="1198"/>
      <c r="N1373" s="1198"/>
      <c r="O1373" s="1198"/>
      <c r="P1373" s="1198"/>
      <c r="Q1373" s="1198"/>
      <c r="R1373" s="1183"/>
      <c r="S1373" s="1135"/>
      <c r="T1373" s="1135"/>
      <c r="U1373" s="1135"/>
      <c r="V1373" s="1135"/>
      <c r="W1373" s="1135"/>
      <c r="X1373" s="1135"/>
      <c r="Y1373" s="1135"/>
      <c r="Z1373" s="1135"/>
      <c r="AA1373" s="1135"/>
      <c r="AB1373" s="1135"/>
      <c r="AC1373" s="1135"/>
      <c r="AD1373" s="1135"/>
      <c r="AE1373" s="1135"/>
      <c r="AF1373" s="1135"/>
      <c r="AG1373" s="1135"/>
      <c r="AH1373" s="1135"/>
      <c r="AI1373" s="1135"/>
      <c r="AJ1373" s="1135"/>
      <c r="AK1373" s="1135"/>
      <c r="AL1373" s="1135"/>
      <c r="AM1373" s="1135"/>
      <c r="AN1373" s="1135"/>
      <c r="AO1373" s="1135"/>
      <c r="AP1373" s="1135"/>
      <c r="AQ1373" s="1135"/>
      <c r="AR1373" s="1135"/>
      <c r="AS1373" s="1135"/>
      <c r="AT1373" s="1135"/>
      <c r="AU1373" s="1135"/>
      <c r="AV1373" s="1135"/>
      <c r="AW1373" s="1135"/>
      <c r="AX1373" s="1135"/>
      <c r="AY1373" s="1135"/>
      <c r="AZ1373" s="1135"/>
      <c r="BA1373" s="1135"/>
      <c r="BB1373" s="1135"/>
      <c r="BC1373" s="1135"/>
      <c r="BD1373" s="1135"/>
      <c r="BE1373" s="1135"/>
      <c r="BF1373" s="1135"/>
      <c r="BG1373" s="1135"/>
      <c r="BH1373" s="1135"/>
      <c r="BI1373" s="1135"/>
      <c r="BJ1373" s="1135"/>
      <c r="BK1373" s="1135"/>
      <c r="BL1373" s="1135"/>
      <c r="BM1373" s="1135"/>
      <c r="BN1373" s="1135"/>
      <c r="BO1373" s="1135"/>
      <c r="BP1373" s="1135"/>
      <c r="BQ1373" s="1135"/>
      <c r="BR1373" s="1135"/>
      <c r="BS1373" s="1135"/>
      <c r="BT1373" s="1135"/>
    </row>
    <row r="1374" spans="1:87" s="450" customFormat="1" ht="16.350000000000001" customHeight="1" outlineLevel="3">
      <c r="A1374" s="1196"/>
      <c r="B1374" s="1197" t="s">
        <v>900</v>
      </c>
      <c r="C1374" s="1198"/>
      <c r="D1374" s="1198"/>
      <c r="E1374" s="1198"/>
      <c r="F1374" s="1198"/>
      <c r="G1374" s="1198"/>
      <c r="H1374" s="1198"/>
      <c r="I1374" s="1198"/>
      <c r="J1374" s="1198"/>
      <c r="K1374" s="1198">
        <v>9986690000</v>
      </c>
      <c r="L1374" s="1198"/>
      <c r="M1374" s="1198"/>
      <c r="N1374" s="1198"/>
      <c r="O1374" s="1198"/>
      <c r="P1374" s="1198"/>
      <c r="Q1374" s="1198"/>
      <c r="R1374" s="1183"/>
      <c r="S1374" s="1135"/>
      <c r="T1374" s="1135"/>
      <c r="U1374" s="1135"/>
      <c r="V1374" s="1135"/>
      <c r="W1374" s="1135"/>
      <c r="X1374" s="1135"/>
      <c r="Y1374" s="1135"/>
      <c r="Z1374" s="1135"/>
      <c r="AA1374" s="1135"/>
      <c r="AB1374" s="1135"/>
      <c r="AC1374" s="1135"/>
      <c r="AD1374" s="1135"/>
      <c r="AE1374" s="1135"/>
      <c r="AF1374" s="1135"/>
      <c r="AG1374" s="1135"/>
      <c r="AH1374" s="1135"/>
      <c r="AI1374" s="1135"/>
      <c r="AJ1374" s="1135"/>
      <c r="AK1374" s="1135"/>
      <c r="AL1374" s="1135"/>
      <c r="AM1374" s="1135"/>
      <c r="AN1374" s="1135"/>
      <c r="AO1374" s="1135"/>
      <c r="AP1374" s="1135"/>
      <c r="AQ1374" s="1135"/>
      <c r="AR1374" s="1135"/>
      <c r="AS1374" s="1135"/>
      <c r="AT1374" s="1135"/>
      <c r="AU1374" s="1135"/>
      <c r="AV1374" s="1135"/>
      <c r="AW1374" s="1135"/>
      <c r="AX1374" s="1135"/>
      <c r="AY1374" s="1135"/>
      <c r="AZ1374" s="1135"/>
      <c r="BA1374" s="1135"/>
      <c r="BB1374" s="1135"/>
      <c r="BC1374" s="1135"/>
      <c r="BD1374" s="1135"/>
      <c r="BE1374" s="1135"/>
      <c r="BF1374" s="1135"/>
      <c r="BG1374" s="1135"/>
      <c r="BH1374" s="1135"/>
      <c r="BI1374" s="1135"/>
      <c r="BJ1374" s="1135"/>
      <c r="BK1374" s="1135"/>
      <c r="BL1374" s="1135"/>
      <c r="BM1374" s="1135"/>
      <c r="BN1374" s="1135"/>
      <c r="BO1374" s="1135"/>
      <c r="BP1374" s="1135"/>
      <c r="BQ1374" s="1135"/>
      <c r="BR1374" s="1135"/>
      <c r="BS1374" s="1135"/>
      <c r="BT1374" s="1135"/>
    </row>
    <row r="1375" spans="1:87" s="450" customFormat="1" ht="16.350000000000001" customHeight="1" outlineLevel="3">
      <c r="A1375" s="1196"/>
      <c r="B1375" s="1197" t="s">
        <v>901</v>
      </c>
      <c r="C1375" s="1198"/>
      <c r="D1375" s="1198"/>
      <c r="E1375" s="1198"/>
      <c r="F1375" s="1198"/>
      <c r="G1375" s="1198"/>
      <c r="H1375" s="1198"/>
      <c r="I1375" s="1198">
        <v>9991110000</v>
      </c>
      <c r="J1375" s="1198"/>
      <c r="K1375" s="1198"/>
      <c r="L1375" s="1198"/>
      <c r="M1375" s="1198"/>
      <c r="N1375" s="1198"/>
      <c r="O1375" s="1198"/>
      <c r="P1375" s="1198"/>
      <c r="Q1375" s="1198"/>
      <c r="R1375" s="1183"/>
      <c r="S1375" s="1135"/>
      <c r="T1375" s="1135"/>
      <c r="U1375" s="1135"/>
      <c r="V1375" s="1135"/>
      <c r="W1375" s="1135"/>
      <c r="X1375" s="1135"/>
      <c r="Y1375" s="1135"/>
      <c r="Z1375" s="1135"/>
      <c r="AA1375" s="1135"/>
      <c r="AB1375" s="1135"/>
      <c r="AC1375" s="1135"/>
      <c r="AD1375" s="1135"/>
      <c r="AE1375" s="1135"/>
      <c r="AF1375" s="1135"/>
      <c r="AG1375" s="1135"/>
      <c r="AH1375" s="1135"/>
      <c r="AI1375" s="1135"/>
      <c r="AJ1375" s="1135"/>
      <c r="AK1375" s="1135"/>
      <c r="AL1375" s="1135"/>
      <c r="AM1375" s="1135"/>
      <c r="AN1375" s="1135"/>
      <c r="AO1375" s="1135"/>
      <c r="AP1375" s="1135"/>
      <c r="AQ1375" s="1135"/>
      <c r="AR1375" s="1135"/>
      <c r="AS1375" s="1135"/>
      <c r="AT1375" s="1135"/>
      <c r="AU1375" s="1135"/>
      <c r="AV1375" s="1135"/>
      <c r="AW1375" s="1135"/>
      <c r="AX1375" s="1135"/>
      <c r="AY1375" s="1135"/>
      <c r="AZ1375" s="1135"/>
      <c r="BA1375" s="1135"/>
      <c r="BB1375" s="1135"/>
      <c r="BC1375" s="1135"/>
      <c r="BD1375" s="1135"/>
      <c r="BE1375" s="1135"/>
      <c r="BF1375" s="1135"/>
      <c r="BG1375" s="1135"/>
      <c r="BH1375" s="1135"/>
      <c r="BI1375" s="1135"/>
      <c r="BJ1375" s="1135"/>
      <c r="BK1375" s="1135"/>
      <c r="BL1375" s="1135"/>
      <c r="BM1375" s="1135"/>
      <c r="BN1375" s="1135"/>
      <c r="BO1375" s="1135"/>
      <c r="BP1375" s="1135"/>
      <c r="BQ1375" s="1135"/>
      <c r="BR1375" s="1135"/>
      <c r="BS1375" s="1135"/>
      <c r="BT1375" s="1135"/>
    </row>
    <row r="1376" spans="1:87" s="450" customFormat="1" ht="16.350000000000001" customHeight="1" outlineLevel="3">
      <c r="A1376" s="1196"/>
      <c r="B1376" s="1197" t="s">
        <v>902</v>
      </c>
      <c r="C1376" s="1198"/>
      <c r="D1376" s="1198"/>
      <c r="E1376" s="1198"/>
      <c r="F1376" s="1198"/>
      <c r="G1376" s="1198"/>
      <c r="H1376" s="1198"/>
      <c r="I1376" s="1198"/>
      <c r="J1376" s="1198">
        <v>12488413000</v>
      </c>
      <c r="K1376" s="1198"/>
      <c r="L1376" s="1198"/>
      <c r="M1376" s="1198"/>
      <c r="N1376" s="1198"/>
      <c r="O1376" s="1198"/>
      <c r="P1376" s="1198"/>
      <c r="Q1376" s="1198"/>
      <c r="R1376" s="1183"/>
      <c r="S1376" s="1135"/>
      <c r="T1376" s="1135"/>
      <c r="U1376" s="1135"/>
      <c r="V1376" s="1135"/>
      <c r="W1376" s="1135"/>
      <c r="X1376" s="1135"/>
      <c r="Y1376" s="1135"/>
      <c r="Z1376" s="1135"/>
      <c r="AA1376" s="1135"/>
      <c r="AB1376" s="1135"/>
      <c r="AC1376" s="1135"/>
      <c r="AD1376" s="1135"/>
      <c r="AE1376" s="1135"/>
      <c r="AF1376" s="1135"/>
      <c r="AG1376" s="1135"/>
      <c r="AH1376" s="1135"/>
      <c r="AI1376" s="1135"/>
      <c r="AJ1376" s="1135"/>
      <c r="AK1376" s="1135"/>
      <c r="AL1376" s="1135"/>
      <c r="AM1376" s="1135"/>
      <c r="AN1376" s="1135"/>
      <c r="AO1376" s="1135"/>
      <c r="AP1376" s="1135"/>
      <c r="AQ1376" s="1135"/>
      <c r="AR1376" s="1135"/>
      <c r="AS1376" s="1135"/>
      <c r="AT1376" s="1135"/>
      <c r="AU1376" s="1135"/>
      <c r="AV1376" s="1135"/>
      <c r="AW1376" s="1135"/>
      <c r="AX1376" s="1135"/>
      <c r="AY1376" s="1135"/>
      <c r="AZ1376" s="1135"/>
      <c r="BA1376" s="1135"/>
      <c r="BB1376" s="1135"/>
      <c r="BC1376" s="1135"/>
      <c r="BD1376" s="1135"/>
      <c r="BE1376" s="1135"/>
      <c r="BF1376" s="1135"/>
      <c r="BG1376" s="1135"/>
      <c r="BH1376" s="1135"/>
      <c r="BI1376" s="1135"/>
      <c r="BJ1376" s="1135"/>
      <c r="BK1376" s="1135"/>
      <c r="BL1376" s="1135"/>
      <c r="BM1376" s="1135"/>
      <c r="BN1376" s="1135"/>
      <c r="BO1376" s="1135"/>
      <c r="BP1376" s="1135"/>
      <c r="BQ1376" s="1135"/>
      <c r="BR1376" s="1135"/>
      <c r="BS1376" s="1135"/>
      <c r="BT1376" s="1135"/>
    </row>
    <row r="1377" spans="1:72" s="450" customFormat="1" ht="16.350000000000001" customHeight="1" outlineLevel="3">
      <c r="A1377" s="1196"/>
      <c r="B1377" s="1197" t="s">
        <v>903</v>
      </c>
      <c r="C1377" s="1198"/>
      <c r="D1377" s="1198"/>
      <c r="E1377" s="1198"/>
      <c r="F1377" s="1198"/>
      <c r="G1377" s="1198"/>
      <c r="H1377" s="1198"/>
      <c r="I1377" s="1198"/>
      <c r="J1377" s="1198"/>
      <c r="K1377" s="1198">
        <v>9984273000</v>
      </c>
      <c r="L1377" s="1198"/>
      <c r="M1377" s="1198"/>
      <c r="N1377" s="1198"/>
      <c r="O1377" s="1198"/>
      <c r="P1377" s="1198"/>
      <c r="Q1377" s="1198"/>
      <c r="R1377" s="1183"/>
      <c r="S1377" s="1135"/>
      <c r="T1377" s="1135"/>
      <c r="U1377" s="1135"/>
      <c r="V1377" s="1135"/>
      <c r="W1377" s="1135"/>
      <c r="X1377" s="1135"/>
      <c r="Y1377" s="1135"/>
      <c r="Z1377" s="1135"/>
      <c r="AA1377" s="1135"/>
      <c r="AB1377" s="1135"/>
      <c r="AC1377" s="1135"/>
      <c r="AD1377" s="1135"/>
      <c r="AE1377" s="1135"/>
      <c r="AF1377" s="1135"/>
      <c r="AG1377" s="1135"/>
      <c r="AH1377" s="1135"/>
      <c r="AI1377" s="1135"/>
      <c r="AJ1377" s="1135"/>
      <c r="AK1377" s="1135"/>
      <c r="AL1377" s="1135"/>
      <c r="AM1377" s="1135"/>
      <c r="AN1377" s="1135"/>
      <c r="AO1377" s="1135"/>
      <c r="AP1377" s="1135"/>
      <c r="AQ1377" s="1135"/>
      <c r="AR1377" s="1135"/>
      <c r="AS1377" s="1135"/>
      <c r="AT1377" s="1135"/>
      <c r="AU1377" s="1135"/>
      <c r="AV1377" s="1135"/>
      <c r="AW1377" s="1135"/>
      <c r="AX1377" s="1135"/>
      <c r="AY1377" s="1135"/>
      <c r="AZ1377" s="1135"/>
      <c r="BA1377" s="1135"/>
      <c r="BB1377" s="1135"/>
      <c r="BC1377" s="1135"/>
      <c r="BD1377" s="1135"/>
      <c r="BE1377" s="1135"/>
      <c r="BF1377" s="1135"/>
      <c r="BG1377" s="1135"/>
      <c r="BH1377" s="1135"/>
      <c r="BI1377" s="1135"/>
      <c r="BJ1377" s="1135"/>
      <c r="BK1377" s="1135"/>
      <c r="BL1377" s="1135"/>
      <c r="BM1377" s="1135"/>
      <c r="BN1377" s="1135"/>
      <c r="BO1377" s="1135"/>
      <c r="BP1377" s="1135"/>
      <c r="BQ1377" s="1135"/>
      <c r="BR1377" s="1135"/>
      <c r="BS1377" s="1135"/>
      <c r="BT1377" s="1135"/>
    </row>
    <row r="1378" spans="1:72" s="450" customFormat="1" ht="16.350000000000001" customHeight="1" outlineLevel="3">
      <c r="A1378" s="1196"/>
      <c r="B1378" s="1197" t="s">
        <v>904</v>
      </c>
      <c r="C1378" s="1198"/>
      <c r="D1378" s="1198"/>
      <c r="E1378" s="1198"/>
      <c r="F1378" s="1198"/>
      <c r="G1378" s="1198"/>
      <c r="H1378" s="1198"/>
      <c r="I1378" s="1198"/>
      <c r="J1378" s="1198">
        <v>5502596000</v>
      </c>
      <c r="K1378" s="1198"/>
      <c r="L1378" s="1198"/>
      <c r="M1378" s="1198"/>
      <c r="N1378" s="1198"/>
      <c r="O1378" s="1198"/>
      <c r="P1378" s="1198"/>
      <c r="Q1378" s="1198"/>
      <c r="R1378" s="1183"/>
      <c r="S1378" s="1135"/>
      <c r="T1378" s="1135"/>
      <c r="U1378" s="1135"/>
      <c r="V1378" s="1135"/>
      <c r="W1378" s="1135"/>
      <c r="X1378" s="1135"/>
      <c r="Y1378" s="1135"/>
      <c r="Z1378" s="1135"/>
      <c r="AA1378" s="1135"/>
      <c r="AB1378" s="1135"/>
      <c r="AC1378" s="1135"/>
      <c r="AD1378" s="1135"/>
      <c r="AE1378" s="1135"/>
      <c r="AF1378" s="1135"/>
      <c r="AG1378" s="1135"/>
      <c r="AH1378" s="1135"/>
      <c r="AI1378" s="1135"/>
      <c r="AJ1378" s="1135"/>
      <c r="AK1378" s="1135"/>
      <c r="AL1378" s="1135"/>
      <c r="AM1378" s="1135"/>
      <c r="AN1378" s="1135"/>
      <c r="AO1378" s="1135"/>
      <c r="AP1378" s="1135"/>
      <c r="AQ1378" s="1135"/>
      <c r="AR1378" s="1135"/>
      <c r="AS1378" s="1135"/>
      <c r="AT1378" s="1135"/>
      <c r="AU1378" s="1135"/>
      <c r="AV1378" s="1135"/>
      <c r="AW1378" s="1135"/>
      <c r="AX1378" s="1135"/>
      <c r="AY1378" s="1135"/>
      <c r="AZ1378" s="1135"/>
      <c r="BA1378" s="1135"/>
      <c r="BB1378" s="1135"/>
      <c r="BC1378" s="1135"/>
      <c r="BD1378" s="1135"/>
      <c r="BE1378" s="1135"/>
      <c r="BF1378" s="1135"/>
      <c r="BG1378" s="1135"/>
      <c r="BH1378" s="1135"/>
      <c r="BI1378" s="1135"/>
      <c r="BJ1378" s="1135"/>
      <c r="BK1378" s="1135"/>
      <c r="BL1378" s="1135"/>
      <c r="BM1378" s="1135"/>
      <c r="BN1378" s="1135"/>
      <c r="BO1378" s="1135"/>
      <c r="BP1378" s="1135"/>
      <c r="BQ1378" s="1135"/>
      <c r="BR1378" s="1135"/>
      <c r="BS1378" s="1135"/>
      <c r="BT1378" s="1135"/>
    </row>
    <row r="1379" spans="1:72" s="450" customFormat="1" ht="16.350000000000001" customHeight="1" outlineLevel="3">
      <c r="A1379" s="1196"/>
      <c r="B1379" s="1197" t="s">
        <v>905</v>
      </c>
      <c r="C1379" s="1198"/>
      <c r="D1379" s="1198"/>
      <c r="E1379" s="1198"/>
      <c r="F1379" s="1198"/>
      <c r="G1379" s="1198"/>
      <c r="H1379" s="1198"/>
      <c r="I1379" s="1198"/>
      <c r="J1379" s="1198"/>
      <c r="K1379" s="1198">
        <v>5501219000</v>
      </c>
      <c r="L1379" s="1198"/>
      <c r="M1379" s="1198"/>
      <c r="N1379" s="1198"/>
      <c r="O1379" s="1198"/>
      <c r="P1379" s="1198"/>
      <c r="Q1379" s="1198"/>
      <c r="R1379" s="1183"/>
      <c r="S1379" s="1135"/>
      <c r="T1379" s="1135"/>
      <c r="U1379" s="1135"/>
      <c r="V1379" s="1135"/>
      <c r="W1379" s="1135"/>
      <c r="X1379" s="1135"/>
      <c r="Y1379" s="1135"/>
      <c r="Z1379" s="1135"/>
      <c r="AA1379" s="1135"/>
      <c r="AB1379" s="1135"/>
      <c r="AC1379" s="1135"/>
      <c r="AD1379" s="1135"/>
      <c r="AE1379" s="1135"/>
      <c r="AF1379" s="1135"/>
      <c r="AG1379" s="1135"/>
      <c r="AH1379" s="1135"/>
      <c r="AI1379" s="1135"/>
      <c r="AJ1379" s="1135"/>
      <c r="AK1379" s="1135"/>
      <c r="AL1379" s="1135"/>
      <c r="AM1379" s="1135"/>
      <c r="AN1379" s="1135"/>
      <c r="AO1379" s="1135"/>
      <c r="AP1379" s="1135"/>
      <c r="AQ1379" s="1135"/>
      <c r="AR1379" s="1135"/>
      <c r="AS1379" s="1135"/>
      <c r="AT1379" s="1135"/>
      <c r="AU1379" s="1135"/>
      <c r="AV1379" s="1135"/>
      <c r="AW1379" s="1135"/>
      <c r="AX1379" s="1135"/>
      <c r="AY1379" s="1135"/>
      <c r="AZ1379" s="1135"/>
      <c r="BA1379" s="1135"/>
      <c r="BB1379" s="1135"/>
      <c r="BC1379" s="1135"/>
      <c r="BD1379" s="1135"/>
      <c r="BE1379" s="1135"/>
      <c r="BF1379" s="1135"/>
      <c r="BG1379" s="1135"/>
      <c r="BH1379" s="1135"/>
      <c r="BI1379" s="1135"/>
      <c r="BJ1379" s="1135"/>
      <c r="BK1379" s="1135"/>
      <c r="BL1379" s="1135"/>
      <c r="BM1379" s="1135"/>
      <c r="BN1379" s="1135"/>
      <c r="BO1379" s="1135"/>
      <c r="BP1379" s="1135"/>
      <c r="BQ1379" s="1135"/>
      <c r="BR1379" s="1135"/>
      <c r="BS1379" s="1135"/>
      <c r="BT1379" s="1135"/>
    </row>
    <row r="1380" spans="1:72" s="450" customFormat="1" ht="16.350000000000001" customHeight="1" outlineLevel="3">
      <c r="A1380" s="1196"/>
      <c r="B1380" s="1197" t="s">
        <v>906</v>
      </c>
      <c r="C1380" s="1198"/>
      <c r="D1380" s="1198"/>
      <c r="E1380" s="1198"/>
      <c r="F1380" s="1198"/>
      <c r="G1380" s="1198"/>
      <c r="H1380" s="1198"/>
      <c r="I1380" s="1198"/>
      <c r="J1380" s="1198">
        <v>5007500000</v>
      </c>
      <c r="K1380" s="1198"/>
      <c r="L1380" s="1198"/>
      <c r="M1380" s="1198"/>
      <c r="N1380" s="1198"/>
      <c r="O1380" s="1198"/>
      <c r="P1380" s="1198"/>
      <c r="Q1380" s="1198"/>
      <c r="R1380" s="1183"/>
      <c r="S1380" s="1135"/>
      <c r="T1380" s="1135"/>
      <c r="U1380" s="1135"/>
      <c r="V1380" s="1135"/>
      <c r="W1380" s="1135"/>
      <c r="X1380" s="1135"/>
      <c r="Y1380" s="1135"/>
      <c r="Z1380" s="1135"/>
      <c r="AA1380" s="1135"/>
      <c r="AB1380" s="1135"/>
      <c r="AC1380" s="1135"/>
      <c r="AD1380" s="1135"/>
      <c r="AE1380" s="1135"/>
      <c r="AF1380" s="1135"/>
      <c r="AG1380" s="1135"/>
      <c r="AH1380" s="1135"/>
      <c r="AI1380" s="1135"/>
      <c r="AJ1380" s="1135"/>
      <c r="AK1380" s="1135"/>
      <c r="AL1380" s="1135"/>
      <c r="AM1380" s="1135"/>
      <c r="AN1380" s="1135"/>
      <c r="AO1380" s="1135"/>
      <c r="AP1380" s="1135"/>
      <c r="AQ1380" s="1135"/>
      <c r="AR1380" s="1135"/>
      <c r="AS1380" s="1135"/>
      <c r="AT1380" s="1135"/>
      <c r="AU1380" s="1135"/>
      <c r="AV1380" s="1135"/>
      <c r="AW1380" s="1135"/>
      <c r="AX1380" s="1135"/>
      <c r="AY1380" s="1135"/>
      <c r="AZ1380" s="1135"/>
      <c r="BA1380" s="1135"/>
      <c r="BB1380" s="1135"/>
      <c r="BC1380" s="1135"/>
      <c r="BD1380" s="1135"/>
      <c r="BE1380" s="1135"/>
      <c r="BF1380" s="1135"/>
      <c r="BG1380" s="1135"/>
      <c r="BH1380" s="1135"/>
      <c r="BI1380" s="1135"/>
      <c r="BJ1380" s="1135"/>
      <c r="BK1380" s="1135"/>
      <c r="BL1380" s="1135"/>
      <c r="BM1380" s="1135"/>
      <c r="BN1380" s="1135"/>
      <c r="BO1380" s="1135"/>
      <c r="BP1380" s="1135"/>
      <c r="BQ1380" s="1135"/>
      <c r="BR1380" s="1135"/>
      <c r="BS1380" s="1135"/>
      <c r="BT1380" s="1135"/>
    </row>
    <row r="1381" spans="1:72" s="450" customFormat="1" ht="16.350000000000001" customHeight="1" outlineLevel="3">
      <c r="A1381" s="1196"/>
      <c r="B1381" s="1197" t="s">
        <v>907</v>
      </c>
      <c r="C1381" s="1198"/>
      <c r="D1381" s="1198"/>
      <c r="E1381" s="1198"/>
      <c r="F1381" s="1198"/>
      <c r="G1381" s="1198"/>
      <c r="H1381" s="1198"/>
      <c r="I1381" s="1198"/>
      <c r="J1381" s="1198"/>
      <c r="K1381" s="1198">
        <v>5006575000</v>
      </c>
      <c r="L1381" s="1198"/>
      <c r="M1381" s="1198"/>
      <c r="N1381" s="1198"/>
      <c r="O1381" s="1198"/>
      <c r="P1381" s="1198"/>
      <c r="Q1381" s="1198"/>
      <c r="R1381" s="1183"/>
      <c r="S1381" s="1135"/>
      <c r="T1381" s="1135"/>
      <c r="U1381" s="1135"/>
      <c r="V1381" s="1135"/>
      <c r="W1381" s="1135"/>
      <c r="X1381" s="1135"/>
      <c r="Y1381" s="1135"/>
      <c r="Z1381" s="1135"/>
      <c r="AA1381" s="1135"/>
      <c r="AB1381" s="1135"/>
      <c r="AC1381" s="1135"/>
      <c r="AD1381" s="1135"/>
      <c r="AE1381" s="1135"/>
      <c r="AF1381" s="1135"/>
      <c r="AG1381" s="1135"/>
      <c r="AH1381" s="1135"/>
      <c r="AI1381" s="1135"/>
      <c r="AJ1381" s="1135"/>
      <c r="AK1381" s="1135"/>
      <c r="AL1381" s="1135"/>
      <c r="AM1381" s="1135"/>
      <c r="AN1381" s="1135"/>
      <c r="AO1381" s="1135"/>
      <c r="AP1381" s="1135"/>
      <c r="AQ1381" s="1135"/>
      <c r="AR1381" s="1135"/>
      <c r="AS1381" s="1135"/>
      <c r="AT1381" s="1135"/>
      <c r="AU1381" s="1135"/>
      <c r="AV1381" s="1135"/>
      <c r="AW1381" s="1135"/>
      <c r="AX1381" s="1135"/>
      <c r="AY1381" s="1135"/>
      <c r="AZ1381" s="1135"/>
      <c r="BA1381" s="1135"/>
      <c r="BB1381" s="1135"/>
      <c r="BC1381" s="1135"/>
      <c r="BD1381" s="1135"/>
      <c r="BE1381" s="1135"/>
      <c r="BF1381" s="1135"/>
      <c r="BG1381" s="1135"/>
      <c r="BH1381" s="1135"/>
      <c r="BI1381" s="1135"/>
      <c r="BJ1381" s="1135"/>
      <c r="BK1381" s="1135"/>
      <c r="BL1381" s="1135"/>
      <c r="BM1381" s="1135"/>
      <c r="BN1381" s="1135"/>
      <c r="BO1381" s="1135"/>
      <c r="BP1381" s="1135"/>
      <c r="BQ1381" s="1135"/>
      <c r="BR1381" s="1135"/>
      <c r="BS1381" s="1135"/>
      <c r="BT1381" s="1135"/>
    </row>
    <row r="1382" spans="1:72" s="1125" customFormat="1" ht="16.350000000000001" customHeight="1" outlineLevel="2">
      <c r="A1382" s="1105"/>
      <c r="B1382" s="1153" t="s">
        <v>95</v>
      </c>
      <c r="C1382" s="1194"/>
      <c r="D1382" s="1194"/>
      <c r="E1382" s="1194">
        <v>0</v>
      </c>
      <c r="F1382" s="1194">
        <v>20601093000</v>
      </c>
      <c r="G1382" s="1194">
        <f>SUM(G1383:G1395)</f>
        <v>30509916000</v>
      </c>
      <c r="H1382" s="1194">
        <f>SUM(H1383:H1395)</f>
        <v>15348969000</v>
      </c>
      <c r="I1382" s="1194">
        <f>SUM(I1383:I1395)</f>
        <v>20449837000</v>
      </c>
      <c r="J1382" s="1194">
        <f>SUM(J1383:J1395)</f>
        <v>15222314000</v>
      </c>
      <c r="K1382" s="1194">
        <f>SUM(K1383:K1395)</f>
        <v>15717446000</v>
      </c>
      <c r="L1382" s="1195"/>
      <c r="M1382" s="1195"/>
      <c r="N1382" s="1195"/>
      <c r="O1382" s="1195"/>
      <c r="P1382" s="1195"/>
      <c r="Q1382" s="1195"/>
      <c r="R1382" s="1110"/>
      <c r="S1382" s="1124"/>
      <c r="T1382" s="1124"/>
      <c r="U1382" s="1124"/>
      <c r="V1382" s="1124"/>
      <c r="W1382" s="1124"/>
      <c r="X1382" s="1124"/>
      <c r="Y1382" s="1124"/>
      <c r="Z1382" s="1124"/>
      <c r="AA1382" s="1124"/>
      <c r="AB1382" s="1124"/>
      <c r="AC1382" s="1124"/>
      <c r="AD1382" s="1124"/>
      <c r="AE1382" s="1124"/>
      <c r="AF1382" s="1124"/>
      <c r="AG1382" s="1124"/>
      <c r="AH1382" s="1124"/>
      <c r="AI1382" s="1124"/>
      <c r="AJ1382" s="1124"/>
      <c r="AK1382" s="1124"/>
      <c r="AL1382" s="1124"/>
      <c r="AM1382" s="1124"/>
      <c r="AN1382" s="1124"/>
      <c r="AO1382" s="1124"/>
      <c r="AP1382" s="1124"/>
      <c r="AQ1382" s="1124"/>
      <c r="AR1382" s="1124"/>
      <c r="AS1382" s="1124"/>
      <c r="AT1382" s="1124"/>
      <c r="AU1382" s="1124"/>
      <c r="AV1382" s="1124"/>
      <c r="AW1382" s="1124"/>
      <c r="AX1382" s="1124"/>
      <c r="AY1382" s="1124"/>
      <c r="AZ1382" s="1124"/>
      <c r="BA1382" s="1124"/>
      <c r="BB1382" s="1124"/>
      <c r="BC1382" s="1124"/>
      <c r="BD1382" s="1124"/>
      <c r="BE1382" s="1124"/>
      <c r="BF1382" s="1124"/>
      <c r="BG1382" s="1124"/>
      <c r="BH1382" s="1124"/>
      <c r="BI1382" s="1124"/>
      <c r="BJ1382" s="1124"/>
      <c r="BK1382" s="1124"/>
      <c r="BL1382" s="1124"/>
      <c r="BM1382" s="1124"/>
      <c r="BN1382" s="1124"/>
      <c r="BO1382" s="1124"/>
      <c r="BP1382" s="1124"/>
      <c r="BQ1382" s="1124"/>
      <c r="BR1382" s="1124"/>
      <c r="BS1382" s="1124"/>
      <c r="BT1382" s="1124"/>
    </row>
    <row r="1383" spans="1:72" s="450" customFormat="1" ht="16.350000000000001" customHeight="1" outlineLevel="3">
      <c r="A1383" s="1105"/>
      <c r="B1383" s="1199" t="s">
        <v>908</v>
      </c>
      <c r="C1383" s="1200"/>
      <c r="D1383" s="1200"/>
      <c r="E1383" s="1200"/>
      <c r="F1383" s="1200">
        <v>20601093000</v>
      </c>
      <c r="G1383" s="1201">
        <v>10151334000</v>
      </c>
      <c r="H1383" s="1201"/>
      <c r="I1383" s="1201"/>
      <c r="J1383" s="1201"/>
      <c r="K1383" s="1201"/>
      <c r="L1383" s="1198"/>
      <c r="M1383" s="1198"/>
      <c r="N1383" s="1198"/>
      <c r="O1383" s="1198"/>
      <c r="P1383" s="1198"/>
      <c r="Q1383" s="1198"/>
      <c r="R1383" s="1110"/>
      <c r="S1383" s="1135"/>
      <c r="T1383" s="1135"/>
      <c r="U1383" s="1135"/>
      <c r="V1383" s="1135"/>
      <c r="W1383" s="1135"/>
      <c r="X1383" s="1135"/>
      <c r="Y1383" s="1135"/>
      <c r="Z1383" s="1135"/>
      <c r="AA1383" s="1135"/>
      <c r="AB1383" s="1135"/>
      <c r="AC1383" s="1135"/>
      <c r="AD1383" s="1135"/>
      <c r="AE1383" s="1135"/>
      <c r="AF1383" s="1135"/>
      <c r="AG1383" s="1135"/>
      <c r="AH1383" s="1135"/>
      <c r="AI1383" s="1135"/>
      <c r="AJ1383" s="1135"/>
      <c r="AK1383" s="1135"/>
      <c r="AL1383" s="1135"/>
      <c r="AM1383" s="1135"/>
      <c r="AN1383" s="1135"/>
      <c r="AO1383" s="1135"/>
      <c r="AP1383" s="1135"/>
      <c r="AQ1383" s="1135"/>
      <c r="AR1383" s="1135"/>
      <c r="AS1383" s="1135"/>
      <c r="AT1383" s="1135"/>
      <c r="AU1383" s="1135"/>
      <c r="AV1383" s="1135"/>
      <c r="AW1383" s="1135"/>
      <c r="AX1383" s="1135"/>
      <c r="AY1383" s="1135"/>
      <c r="AZ1383" s="1135"/>
      <c r="BA1383" s="1135"/>
      <c r="BB1383" s="1135"/>
      <c r="BC1383" s="1135"/>
      <c r="BD1383" s="1135"/>
      <c r="BE1383" s="1135"/>
      <c r="BF1383" s="1135"/>
      <c r="BG1383" s="1135"/>
      <c r="BH1383" s="1135"/>
      <c r="BI1383" s="1135"/>
      <c r="BJ1383" s="1135"/>
      <c r="BK1383" s="1135"/>
      <c r="BL1383" s="1135"/>
      <c r="BM1383" s="1135"/>
      <c r="BN1383" s="1135"/>
      <c r="BO1383" s="1135"/>
      <c r="BP1383" s="1135"/>
      <c r="BQ1383" s="1135"/>
      <c r="BR1383" s="1135"/>
      <c r="BS1383" s="1135"/>
      <c r="BT1383" s="1135"/>
    </row>
    <row r="1384" spans="1:72" s="450" customFormat="1" ht="16.350000000000001" customHeight="1" outlineLevel="3">
      <c r="A1384" s="1105"/>
      <c r="B1384" s="1197" t="s">
        <v>909</v>
      </c>
      <c r="C1384" s="1201"/>
      <c r="D1384" s="1201"/>
      <c r="E1384" s="1201"/>
      <c r="F1384" s="1201"/>
      <c r="G1384" s="1201">
        <v>20358582000</v>
      </c>
      <c r="H1384" s="1201"/>
      <c r="I1384" s="1201"/>
      <c r="J1384" s="1201"/>
      <c r="K1384" s="1201"/>
      <c r="L1384" s="1198"/>
      <c r="M1384" s="1198"/>
      <c r="N1384" s="1198"/>
      <c r="O1384" s="1198"/>
      <c r="P1384" s="1198"/>
      <c r="Q1384" s="1198"/>
      <c r="R1384" s="1110"/>
      <c r="S1384" s="1135"/>
      <c r="T1384" s="1135"/>
      <c r="U1384" s="1135"/>
      <c r="V1384" s="1135"/>
      <c r="W1384" s="1135"/>
      <c r="X1384" s="1135"/>
      <c r="Y1384" s="1135"/>
      <c r="Z1384" s="1135"/>
      <c r="AA1384" s="1135"/>
      <c r="AB1384" s="1135"/>
      <c r="AC1384" s="1135"/>
      <c r="AD1384" s="1135"/>
      <c r="AE1384" s="1135"/>
      <c r="AF1384" s="1135"/>
      <c r="AG1384" s="1135"/>
      <c r="AH1384" s="1135"/>
      <c r="AI1384" s="1135"/>
      <c r="AJ1384" s="1135"/>
      <c r="AK1384" s="1135"/>
      <c r="AL1384" s="1135"/>
      <c r="AM1384" s="1135"/>
      <c r="AN1384" s="1135"/>
      <c r="AO1384" s="1135"/>
      <c r="AP1384" s="1135"/>
      <c r="AQ1384" s="1135"/>
      <c r="AR1384" s="1135"/>
      <c r="AS1384" s="1135"/>
      <c r="AT1384" s="1135"/>
      <c r="AU1384" s="1135"/>
      <c r="AV1384" s="1135"/>
      <c r="AW1384" s="1135"/>
      <c r="AX1384" s="1135"/>
      <c r="AY1384" s="1135"/>
      <c r="AZ1384" s="1135"/>
      <c r="BA1384" s="1135"/>
      <c r="BB1384" s="1135"/>
      <c r="BC1384" s="1135"/>
      <c r="BD1384" s="1135"/>
      <c r="BE1384" s="1135"/>
      <c r="BF1384" s="1135"/>
      <c r="BG1384" s="1135"/>
      <c r="BH1384" s="1135"/>
      <c r="BI1384" s="1135"/>
      <c r="BJ1384" s="1135"/>
      <c r="BK1384" s="1135"/>
      <c r="BL1384" s="1135"/>
      <c r="BM1384" s="1135"/>
      <c r="BN1384" s="1135"/>
      <c r="BO1384" s="1135"/>
      <c r="BP1384" s="1135"/>
      <c r="BQ1384" s="1135"/>
      <c r="BR1384" s="1135"/>
      <c r="BS1384" s="1135"/>
      <c r="BT1384" s="1135"/>
    </row>
    <row r="1385" spans="1:72" s="450" customFormat="1" ht="16.350000000000001" customHeight="1" outlineLevel="3" collapsed="1">
      <c r="A1385" s="1105"/>
      <c r="B1385" s="1197" t="s">
        <v>910</v>
      </c>
      <c r="C1385" s="1201"/>
      <c r="D1385" s="1201"/>
      <c r="E1385" s="1201"/>
      <c r="F1385" s="1201"/>
      <c r="G1385" s="1201"/>
      <c r="H1385" s="1201">
        <v>0</v>
      </c>
      <c r="I1385" s="1201"/>
      <c r="J1385" s="1201"/>
      <c r="K1385" s="1201"/>
      <c r="L1385" s="1198"/>
      <c r="M1385" s="1198"/>
      <c r="N1385" s="1198"/>
      <c r="O1385" s="1198"/>
      <c r="P1385" s="1198"/>
      <c r="Q1385" s="1198"/>
      <c r="R1385" s="1110"/>
      <c r="S1385" s="1135"/>
      <c r="T1385" s="1135"/>
      <c r="U1385" s="1135"/>
      <c r="V1385" s="1135"/>
      <c r="W1385" s="1135"/>
      <c r="X1385" s="1135"/>
      <c r="Y1385" s="1135"/>
      <c r="Z1385" s="1135"/>
      <c r="AA1385" s="1135"/>
      <c r="AB1385" s="1135"/>
      <c r="AC1385" s="1135"/>
      <c r="AD1385" s="1135"/>
      <c r="AE1385" s="1135"/>
      <c r="AF1385" s="1135"/>
      <c r="AG1385" s="1135"/>
      <c r="AH1385" s="1135"/>
      <c r="AI1385" s="1135"/>
      <c r="AJ1385" s="1135"/>
      <c r="AK1385" s="1135"/>
      <c r="AL1385" s="1135"/>
      <c r="AM1385" s="1135"/>
      <c r="AN1385" s="1135"/>
      <c r="AO1385" s="1135"/>
      <c r="AP1385" s="1135"/>
      <c r="AQ1385" s="1135"/>
      <c r="AR1385" s="1135"/>
      <c r="AS1385" s="1135"/>
      <c r="AT1385" s="1135"/>
      <c r="AU1385" s="1135"/>
      <c r="AV1385" s="1135"/>
      <c r="AW1385" s="1135"/>
      <c r="AX1385" s="1135"/>
      <c r="AY1385" s="1135"/>
      <c r="AZ1385" s="1135"/>
      <c r="BA1385" s="1135"/>
      <c r="BB1385" s="1135"/>
      <c r="BC1385" s="1135"/>
      <c r="BD1385" s="1135"/>
      <c r="BE1385" s="1135"/>
      <c r="BF1385" s="1135"/>
      <c r="BG1385" s="1135"/>
      <c r="BH1385" s="1135"/>
      <c r="BI1385" s="1135"/>
      <c r="BJ1385" s="1135"/>
      <c r="BK1385" s="1135"/>
      <c r="BL1385" s="1135"/>
      <c r="BM1385" s="1135"/>
      <c r="BN1385" s="1135"/>
      <c r="BO1385" s="1135"/>
      <c r="BP1385" s="1135"/>
      <c r="BQ1385" s="1135"/>
      <c r="BR1385" s="1135"/>
      <c r="BS1385" s="1135"/>
      <c r="BT1385" s="1135"/>
    </row>
    <row r="1386" spans="1:72" s="450" customFormat="1" ht="16.350000000000001" customHeight="1" outlineLevel="3">
      <c r="A1386" s="1105"/>
      <c r="B1386" s="1197" t="s">
        <v>911</v>
      </c>
      <c r="C1386" s="1201"/>
      <c r="D1386" s="1201"/>
      <c r="E1386" s="1201"/>
      <c r="F1386" s="1201"/>
      <c r="G1386" s="1201"/>
      <c r="H1386" s="1201">
        <v>10206025000</v>
      </c>
      <c r="I1386" s="1201">
        <v>10199139000</v>
      </c>
      <c r="J1386" s="1201"/>
      <c r="K1386" s="1201"/>
      <c r="L1386" s="1198"/>
      <c r="M1386" s="1198"/>
      <c r="N1386" s="1198"/>
      <c r="O1386" s="1198"/>
      <c r="P1386" s="1198"/>
      <c r="Q1386" s="1198"/>
      <c r="R1386" s="1110"/>
      <c r="S1386" s="1135"/>
      <c r="T1386" s="1135"/>
      <c r="U1386" s="1135"/>
      <c r="V1386" s="1135"/>
      <c r="W1386" s="1135"/>
      <c r="X1386" s="1135"/>
      <c r="Y1386" s="1135"/>
      <c r="Z1386" s="1135"/>
      <c r="AA1386" s="1135"/>
      <c r="AB1386" s="1135"/>
      <c r="AC1386" s="1135"/>
      <c r="AD1386" s="1135"/>
      <c r="AE1386" s="1135"/>
      <c r="AF1386" s="1135"/>
      <c r="AG1386" s="1135"/>
      <c r="AH1386" s="1135"/>
      <c r="AI1386" s="1135"/>
      <c r="AJ1386" s="1135"/>
      <c r="AK1386" s="1135"/>
      <c r="AL1386" s="1135"/>
      <c r="AM1386" s="1135"/>
      <c r="AN1386" s="1135"/>
      <c r="AO1386" s="1135"/>
      <c r="AP1386" s="1135"/>
      <c r="AQ1386" s="1135"/>
      <c r="AR1386" s="1135"/>
      <c r="AS1386" s="1135"/>
      <c r="AT1386" s="1135"/>
      <c r="AU1386" s="1135"/>
      <c r="AV1386" s="1135"/>
      <c r="AW1386" s="1135"/>
      <c r="AX1386" s="1135"/>
      <c r="AY1386" s="1135"/>
      <c r="AZ1386" s="1135"/>
      <c r="BA1386" s="1135"/>
      <c r="BB1386" s="1135"/>
      <c r="BC1386" s="1135"/>
      <c r="BD1386" s="1135"/>
      <c r="BE1386" s="1135"/>
      <c r="BF1386" s="1135"/>
      <c r="BG1386" s="1135"/>
      <c r="BH1386" s="1135"/>
      <c r="BI1386" s="1135"/>
      <c r="BJ1386" s="1135"/>
      <c r="BK1386" s="1135"/>
      <c r="BL1386" s="1135"/>
      <c r="BM1386" s="1135"/>
      <c r="BN1386" s="1135"/>
      <c r="BO1386" s="1135"/>
      <c r="BP1386" s="1135"/>
      <c r="BQ1386" s="1135"/>
      <c r="BR1386" s="1135"/>
      <c r="BS1386" s="1135"/>
      <c r="BT1386" s="1135"/>
    </row>
    <row r="1387" spans="1:72" s="450" customFormat="1" ht="16.350000000000001" customHeight="1" outlineLevel="3">
      <c r="A1387" s="1105"/>
      <c r="B1387" s="1197" t="s">
        <v>912</v>
      </c>
      <c r="C1387" s="1201"/>
      <c r="D1387" s="1201"/>
      <c r="E1387" s="1201"/>
      <c r="F1387" s="1201"/>
      <c r="G1387" s="1201"/>
      <c r="H1387" s="1201">
        <v>5142944000</v>
      </c>
      <c r="I1387" s="1201">
        <v>5137436000</v>
      </c>
      <c r="J1387" s="1201"/>
      <c r="K1387" s="1201"/>
      <c r="L1387" s="1198"/>
      <c r="M1387" s="1198"/>
      <c r="N1387" s="1198"/>
      <c r="O1387" s="1198"/>
      <c r="P1387" s="1198"/>
      <c r="Q1387" s="1198"/>
      <c r="R1387" s="1110"/>
      <c r="S1387" s="1135"/>
      <c r="T1387" s="1135"/>
      <c r="U1387" s="1135"/>
      <c r="V1387" s="1135"/>
      <c r="W1387" s="1135"/>
      <c r="X1387" s="1135"/>
      <c r="Y1387" s="1135"/>
      <c r="Z1387" s="1135"/>
      <c r="AA1387" s="1135"/>
      <c r="AB1387" s="1135"/>
      <c r="AC1387" s="1135"/>
      <c r="AD1387" s="1135"/>
      <c r="AE1387" s="1135"/>
      <c r="AF1387" s="1135"/>
      <c r="AG1387" s="1135"/>
      <c r="AH1387" s="1135"/>
      <c r="AI1387" s="1135"/>
      <c r="AJ1387" s="1135"/>
      <c r="AK1387" s="1135"/>
      <c r="AL1387" s="1135"/>
      <c r="AM1387" s="1135"/>
      <c r="AN1387" s="1135"/>
      <c r="AO1387" s="1135"/>
      <c r="AP1387" s="1135"/>
      <c r="AQ1387" s="1135"/>
      <c r="AR1387" s="1135"/>
      <c r="AS1387" s="1135"/>
      <c r="AT1387" s="1135"/>
      <c r="AU1387" s="1135"/>
      <c r="AV1387" s="1135"/>
      <c r="AW1387" s="1135"/>
      <c r="AX1387" s="1135"/>
      <c r="AY1387" s="1135"/>
      <c r="AZ1387" s="1135"/>
      <c r="BA1387" s="1135"/>
      <c r="BB1387" s="1135"/>
      <c r="BC1387" s="1135"/>
      <c r="BD1387" s="1135"/>
      <c r="BE1387" s="1135"/>
      <c r="BF1387" s="1135"/>
      <c r="BG1387" s="1135"/>
      <c r="BH1387" s="1135"/>
      <c r="BI1387" s="1135"/>
      <c r="BJ1387" s="1135"/>
      <c r="BK1387" s="1135"/>
      <c r="BL1387" s="1135"/>
      <c r="BM1387" s="1135"/>
      <c r="BN1387" s="1135"/>
      <c r="BO1387" s="1135"/>
      <c r="BP1387" s="1135"/>
      <c r="BQ1387" s="1135"/>
      <c r="BR1387" s="1135"/>
      <c r="BS1387" s="1135"/>
      <c r="BT1387" s="1135"/>
    </row>
    <row r="1388" spans="1:72" s="450" customFormat="1" ht="16.350000000000001" customHeight="1" outlineLevel="3">
      <c r="A1388" s="1105"/>
      <c r="B1388" s="1197" t="s">
        <v>913</v>
      </c>
      <c r="C1388" s="1201"/>
      <c r="D1388" s="1201"/>
      <c r="E1388" s="1201"/>
      <c r="F1388" s="1201"/>
      <c r="G1388" s="1201"/>
      <c r="H1388" s="1201"/>
      <c r="I1388" s="1201">
        <v>5113262000</v>
      </c>
      <c r="J1388" s="1201"/>
      <c r="K1388" s="1201"/>
      <c r="L1388" s="1198"/>
      <c r="M1388" s="1198"/>
      <c r="N1388" s="1198"/>
      <c r="O1388" s="1198"/>
      <c r="P1388" s="1198"/>
      <c r="Q1388" s="1198"/>
      <c r="R1388" s="1110"/>
      <c r="S1388" s="1135"/>
      <c r="T1388" s="1135"/>
      <c r="U1388" s="1135"/>
      <c r="V1388" s="1135"/>
      <c r="W1388" s="1135"/>
      <c r="X1388" s="1135"/>
      <c r="Y1388" s="1135"/>
      <c r="Z1388" s="1135"/>
      <c r="AA1388" s="1135"/>
      <c r="AB1388" s="1135"/>
      <c r="AC1388" s="1135"/>
      <c r="AD1388" s="1135"/>
      <c r="AE1388" s="1135"/>
      <c r="AF1388" s="1135"/>
      <c r="AG1388" s="1135"/>
      <c r="AH1388" s="1135"/>
      <c r="AI1388" s="1135"/>
      <c r="AJ1388" s="1135"/>
      <c r="AK1388" s="1135"/>
      <c r="AL1388" s="1135"/>
      <c r="AM1388" s="1135"/>
      <c r="AN1388" s="1135"/>
      <c r="AO1388" s="1135"/>
      <c r="AP1388" s="1135"/>
      <c r="AQ1388" s="1135"/>
      <c r="AR1388" s="1135"/>
      <c r="AS1388" s="1135"/>
      <c r="AT1388" s="1135"/>
      <c r="AU1388" s="1135"/>
      <c r="AV1388" s="1135"/>
      <c r="AW1388" s="1135"/>
      <c r="AX1388" s="1135"/>
      <c r="AY1388" s="1135"/>
      <c r="AZ1388" s="1135"/>
      <c r="BA1388" s="1135"/>
      <c r="BB1388" s="1135"/>
      <c r="BC1388" s="1135"/>
      <c r="BD1388" s="1135"/>
      <c r="BE1388" s="1135"/>
      <c r="BF1388" s="1135"/>
      <c r="BG1388" s="1135"/>
      <c r="BH1388" s="1135"/>
      <c r="BI1388" s="1135"/>
      <c r="BJ1388" s="1135"/>
      <c r="BK1388" s="1135"/>
      <c r="BL1388" s="1135"/>
      <c r="BM1388" s="1135"/>
      <c r="BN1388" s="1135"/>
      <c r="BO1388" s="1135"/>
      <c r="BP1388" s="1135"/>
      <c r="BQ1388" s="1135"/>
      <c r="BR1388" s="1135"/>
      <c r="BS1388" s="1135"/>
      <c r="BT1388" s="1135"/>
    </row>
    <row r="1389" spans="1:72" s="450" customFormat="1" ht="16.350000000000001" customHeight="1" outlineLevel="3">
      <c r="A1389" s="1105"/>
      <c r="B1389" s="1197" t="s">
        <v>914</v>
      </c>
      <c r="C1389" s="1201"/>
      <c r="D1389" s="1201"/>
      <c r="E1389" s="1201"/>
      <c r="F1389" s="1201"/>
      <c r="G1389" s="1201"/>
      <c r="H1389" s="1201"/>
      <c r="I1389" s="1201"/>
      <c r="J1389" s="1201">
        <v>5107739000</v>
      </c>
      <c r="K1389" s="1201"/>
      <c r="L1389" s="1198"/>
      <c r="M1389" s="1198"/>
      <c r="N1389" s="1198"/>
      <c r="O1389" s="1198"/>
      <c r="P1389" s="1198"/>
      <c r="Q1389" s="1198"/>
      <c r="R1389" s="1110"/>
      <c r="S1389" s="1135"/>
      <c r="T1389" s="1135"/>
      <c r="U1389" s="1135"/>
      <c r="V1389" s="1135"/>
      <c r="W1389" s="1135"/>
      <c r="X1389" s="1135"/>
      <c r="Y1389" s="1135"/>
      <c r="Z1389" s="1135"/>
      <c r="AA1389" s="1135"/>
      <c r="AB1389" s="1135"/>
      <c r="AC1389" s="1135"/>
      <c r="AD1389" s="1135"/>
      <c r="AE1389" s="1135"/>
      <c r="AF1389" s="1135"/>
      <c r="AG1389" s="1135"/>
      <c r="AH1389" s="1135"/>
      <c r="AI1389" s="1135"/>
      <c r="AJ1389" s="1135"/>
      <c r="AK1389" s="1135"/>
      <c r="AL1389" s="1135"/>
      <c r="AM1389" s="1135"/>
      <c r="AN1389" s="1135"/>
      <c r="AO1389" s="1135"/>
      <c r="AP1389" s="1135"/>
      <c r="AQ1389" s="1135"/>
      <c r="AR1389" s="1135"/>
      <c r="AS1389" s="1135"/>
      <c r="AT1389" s="1135"/>
      <c r="AU1389" s="1135"/>
      <c r="AV1389" s="1135"/>
      <c r="AW1389" s="1135"/>
      <c r="AX1389" s="1135"/>
      <c r="AY1389" s="1135"/>
      <c r="AZ1389" s="1135"/>
      <c r="BA1389" s="1135"/>
      <c r="BB1389" s="1135"/>
      <c r="BC1389" s="1135"/>
      <c r="BD1389" s="1135"/>
      <c r="BE1389" s="1135"/>
      <c r="BF1389" s="1135"/>
      <c r="BG1389" s="1135"/>
      <c r="BH1389" s="1135"/>
      <c r="BI1389" s="1135"/>
      <c r="BJ1389" s="1135"/>
      <c r="BK1389" s="1135"/>
      <c r="BL1389" s="1135"/>
      <c r="BM1389" s="1135"/>
      <c r="BN1389" s="1135"/>
      <c r="BO1389" s="1135"/>
      <c r="BP1389" s="1135"/>
      <c r="BQ1389" s="1135"/>
      <c r="BR1389" s="1135"/>
      <c r="BS1389" s="1135"/>
      <c r="BT1389" s="1135"/>
    </row>
    <row r="1390" spans="1:72" s="450" customFormat="1" ht="16.350000000000001" customHeight="1" outlineLevel="3">
      <c r="A1390" s="1105"/>
      <c r="B1390" s="1197" t="s">
        <v>915</v>
      </c>
      <c r="C1390" s="1201"/>
      <c r="D1390" s="1201"/>
      <c r="E1390" s="1201"/>
      <c r="F1390" s="1201"/>
      <c r="G1390" s="1201"/>
      <c r="H1390" s="1201"/>
      <c r="I1390" s="1201"/>
      <c r="J1390" s="1201">
        <v>5067530000</v>
      </c>
      <c r="K1390" s="1201"/>
      <c r="L1390" s="1198"/>
      <c r="M1390" s="1198"/>
      <c r="N1390" s="1198"/>
      <c r="O1390" s="1198"/>
      <c r="P1390" s="1198"/>
      <c r="Q1390" s="1198"/>
      <c r="R1390" s="1110"/>
      <c r="S1390" s="1135"/>
      <c r="T1390" s="1135"/>
      <c r="U1390" s="1135"/>
      <c r="V1390" s="1135"/>
      <c r="W1390" s="1135"/>
      <c r="X1390" s="1135"/>
      <c r="Y1390" s="1135"/>
      <c r="Z1390" s="1135"/>
      <c r="AA1390" s="1135"/>
      <c r="AB1390" s="1135"/>
      <c r="AC1390" s="1135"/>
      <c r="AD1390" s="1135"/>
      <c r="AE1390" s="1135"/>
      <c r="AF1390" s="1135"/>
      <c r="AG1390" s="1135"/>
      <c r="AH1390" s="1135"/>
      <c r="AI1390" s="1135"/>
      <c r="AJ1390" s="1135"/>
      <c r="AK1390" s="1135"/>
      <c r="AL1390" s="1135"/>
      <c r="AM1390" s="1135"/>
      <c r="AN1390" s="1135"/>
      <c r="AO1390" s="1135"/>
      <c r="AP1390" s="1135"/>
      <c r="AQ1390" s="1135"/>
      <c r="AR1390" s="1135"/>
      <c r="AS1390" s="1135"/>
      <c r="AT1390" s="1135"/>
      <c r="AU1390" s="1135"/>
      <c r="AV1390" s="1135"/>
      <c r="AW1390" s="1135"/>
      <c r="AX1390" s="1135"/>
      <c r="AY1390" s="1135"/>
      <c r="AZ1390" s="1135"/>
      <c r="BA1390" s="1135"/>
      <c r="BB1390" s="1135"/>
      <c r="BC1390" s="1135"/>
      <c r="BD1390" s="1135"/>
      <c r="BE1390" s="1135"/>
      <c r="BF1390" s="1135"/>
      <c r="BG1390" s="1135"/>
      <c r="BH1390" s="1135"/>
      <c r="BI1390" s="1135"/>
      <c r="BJ1390" s="1135"/>
      <c r="BK1390" s="1135"/>
      <c r="BL1390" s="1135"/>
      <c r="BM1390" s="1135"/>
      <c r="BN1390" s="1135"/>
      <c r="BO1390" s="1135"/>
      <c r="BP1390" s="1135"/>
      <c r="BQ1390" s="1135"/>
      <c r="BR1390" s="1135"/>
      <c r="BS1390" s="1135"/>
      <c r="BT1390" s="1135"/>
    </row>
    <row r="1391" spans="1:72" s="450" customFormat="1" ht="16.350000000000001" customHeight="1" outlineLevel="3">
      <c r="A1391" s="1105"/>
      <c r="B1391" s="1197" t="s">
        <v>915</v>
      </c>
      <c r="C1391" s="1201"/>
      <c r="D1391" s="1201"/>
      <c r="E1391" s="1201"/>
      <c r="F1391" s="1201"/>
      <c r="G1391" s="1201"/>
      <c r="H1391" s="1201"/>
      <c r="I1391" s="1201"/>
      <c r="J1391" s="1201"/>
      <c r="K1391" s="1201">
        <v>5036788000</v>
      </c>
      <c r="L1391" s="1198"/>
      <c r="M1391" s="1198"/>
      <c r="N1391" s="1198"/>
      <c r="O1391" s="1198"/>
      <c r="P1391" s="1198"/>
      <c r="Q1391" s="1198"/>
      <c r="R1391" s="1110"/>
      <c r="S1391" s="1135"/>
      <c r="T1391" s="1135"/>
      <c r="U1391" s="1135"/>
      <c r="V1391" s="1135"/>
      <c r="W1391" s="1135"/>
      <c r="X1391" s="1135"/>
      <c r="Y1391" s="1135"/>
      <c r="Z1391" s="1135"/>
      <c r="AA1391" s="1135"/>
      <c r="AB1391" s="1135"/>
      <c r="AC1391" s="1135"/>
      <c r="AD1391" s="1135"/>
      <c r="AE1391" s="1135"/>
      <c r="AF1391" s="1135"/>
      <c r="AG1391" s="1135"/>
      <c r="AH1391" s="1135"/>
      <c r="AI1391" s="1135"/>
      <c r="AJ1391" s="1135"/>
      <c r="AK1391" s="1135"/>
      <c r="AL1391" s="1135"/>
      <c r="AM1391" s="1135"/>
      <c r="AN1391" s="1135"/>
      <c r="AO1391" s="1135"/>
      <c r="AP1391" s="1135"/>
      <c r="AQ1391" s="1135"/>
      <c r="AR1391" s="1135"/>
      <c r="AS1391" s="1135"/>
      <c r="AT1391" s="1135"/>
      <c r="AU1391" s="1135"/>
      <c r="AV1391" s="1135"/>
      <c r="AW1391" s="1135"/>
      <c r="AX1391" s="1135"/>
      <c r="AY1391" s="1135"/>
      <c r="AZ1391" s="1135"/>
      <c r="BA1391" s="1135"/>
      <c r="BB1391" s="1135"/>
      <c r="BC1391" s="1135"/>
      <c r="BD1391" s="1135"/>
      <c r="BE1391" s="1135"/>
      <c r="BF1391" s="1135"/>
      <c r="BG1391" s="1135"/>
      <c r="BH1391" s="1135"/>
      <c r="BI1391" s="1135"/>
      <c r="BJ1391" s="1135"/>
      <c r="BK1391" s="1135"/>
      <c r="BL1391" s="1135"/>
      <c r="BM1391" s="1135"/>
      <c r="BN1391" s="1135"/>
      <c r="BO1391" s="1135"/>
      <c r="BP1391" s="1135"/>
      <c r="BQ1391" s="1135"/>
      <c r="BR1391" s="1135"/>
      <c r="BS1391" s="1135"/>
      <c r="BT1391" s="1135"/>
    </row>
    <row r="1392" spans="1:72" s="450" customFormat="1" ht="16.350000000000001" customHeight="1" outlineLevel="3">
      <c r="A1392" s="1105"/>
      <c r="B1392" s="1197" t="s">
        <v>916</v>
      </c>
      <c r="C1392" s="1201"/>
      <c r="D1392" s="1201"/>
      <c r="E1392" s="1201"/>
      <c r="F1392" s="1201"/>
      <c r="G1392" s="1201"/>
      <c r="H1392" s="1201"/>
      <c r="I1392" s="1201"/>
      <c r="J1392" s="1201">
        <v>5043317000</v>
      </c>
      <c r="K1392" s="1201"/>
      <c r="L1392" s="1198"/>
      <c r="M1392" s="1198"/>
      <c r="N1392" s="1198"/>
      <c r="O1392" s="1198"/>
      <c r="P1392" s="1198"/>
      <c r="Q1392" s="1198"/>
      <c r="R1392" s="1110"/>
      <c r="S1392" s="1135"/>
      <c r="T1392" s="1135"/>
      <c r="U1392" s="1135"/>
      <c r="V1392" s="1135"/>
      <c r="W1392" s="1135"/>
      <c r="X1392" s="1135"/>
      <c r="Y1392" s="1135"/>
      <c r="Z1392" s="1135"/>
      <c r="AA1392" s="1135"/>
      <c r="AB1392" s="1135"/>
      <c r="AC1392" s="1135"/>
      <c r="AD1392" s="1135"/>
      <c r="AE1392" s="1135"/>
      <c r="AF1392" s="1135"/>
      <c r="AG1392" s="1135"/>
      <c r="AH1392" s="1135"/>
      <c r="AI1392" s="1135"/>
      <c r="AJ1392" s="1135"/>
      <c r="AK1392" s="1135"/>
      <c r="AL1392" s="1135"/>
      <c r="AM1392" s="1135"/>
      <c r="AN1392" s="1135"/>
      <c r="AO1392" s="1135"/>
      <c r="AP1392" s="1135"/>
      <c r="AQ1392" s="1135"/>
      <c r="AR1392" s="1135"/>
      <c r="AS1392" s="1135"/>
      <c r="AT1392" s="1135"/>
      <c r="AU1392" s="1135"/>
      <c r="AV1392" s="1135"/>
      <c r="AW1392" s="1135"/>
      <c r="AX1392" s="1135"/>
      <c r="AY1392" s="1135"/>
      <c r="AZ1392" s="1135"/>
      <c r="BA1392" s="1135"/>
      <c r="BB1392" s="1135"/>
      <c r="BC1392" s="1135"/>
      <c r="BD1392" s="1135"/>
      <c r="BE1392" s="1135"/>
      <c r="BF1392" s="1135"/>
      <c r="BG1392" s="1135"/>
      <c r="BH1392" s="1135"/>
      <c r="BI1392" s="1135"/>
      <c r="BJ1392" s="1135"/>
      <c r="BK1392" s="1135"/>
      <c r="BL1392" s="1135"/>
      <c r="BM1392" s="1135"/>
      <c r="BN1392" s="1135"/>
      <c r="BO1392" s="1135"/>
      <c r="BP1392" s="1135"/>
      <c r="BQ1392" s="1135"/>
      <c r="BR1392" s="1135"/>
      <c r="BS1392" s="1135"/>
      <c r="BT1392" s="1135"/>
    </row>
    <row r="1393" spans="1:72" s="450" customFormat="1" ht="16.350000000000001" customHeight="1" outlineLevel="3">
      <c r="A1393" s="1105"/>
      <c r="B1393" s="1197" t="s">
        <v>916</v>
      </c>
      <c r="C1393" s="1201"/>
      <c r="D1393" s="1201"/>
      <c r="E1393" s="1201"/>
      <c r="F1393" s="1201"/>
      <c r="G1393" s="1201"/>
      <c r="H1393" s="1201"/>
      <c r="I1393" s="1201"/>
      <c r="J1393" s="1201"/>
      <c r="K1393" s="1201">
        <v>5061032000</v>
      </c>
      <c r="L1393" s="1198"/>
      <c r="M1393" s="1198"/>
      <c r="N1393" s="1198"/>
      <c r="O1393" s="1198"/>
      <c r="P1393" s="1198"/>
      <c r="Q1393" s="1198"/>
      <c r="R1393" s="1110"/>
      <c r="S1393" s="1135"/>
      <c r="T1393" s="1135"/>
      <c r="U1393" s="1135"/>
      <c r="V1393" s="1135"/>
      <c r="W1393" s="1135"/>
      <c r="X1393" s="1135"/>
      <c r="Y1393" s="1135"/>
      <c r="Z1393" s="1135"/>
      <c r="AA1393" s="1135"/>
      <c r="AB1393" s="1135"/>
      <c r="AC1393" s="1135"/>
      <c r="AD1393" s="1135"/>
      <c r="AE1393" s="1135"/>
      <c r="AF1393" s="1135"/>
      <c r="AG1393" s="1135"/>
      <c r="AH1393" s="1135"/>
      <c r="AI1393" s="1135"/>
      <c r="AJ1393" s="1135"/>
      <c r="AK1393" s="1135"/>
      <c r="AL1393" s="1135"/>
      <c r="AM1393" s="1135"/>
      <c r="AN1393" s="1135"/>
      <c r="AO1393" s="1135"/>
      <c r="AP1393" s="1135"/>
      <c r="AQ1393" s="1135"/>
      <c r="AR1393" s="1135"/>
      <c r="AS1393" s="1135"/>
      <c r="AT1393" s="1135"/>
      <c r="AU1393" s="1135"/>
      <c r="AV1393" s="1135"/>
      <c r="AW1393" s="1135"/>
      <c r="AX1393" s="1135"/>
      <c r="AY1393" s="1135"/>
      <c r="AZ1393" s="1135"/>
      <c r="BA1393" s="1135"/>
      <c r="BB1393" s="1135"/>
      <c r="BC1393" s="1135"/>
      <c r="BD1393" s="1135"/>
      <c r="BE1393" s="1135"/>
      <c r="BF1393" s="1135"/>
      <c r="BG1393" s="1135"/>
      <c r="BH1393" s="1135"/>
      <c r="BI1393" s="1135"/>
      <c r="BJ1393" s="1135"/>
      <c r="BK1393" s="1135"/>
      <c r="BL1393" s="1135"/>
      <c r="BM1393" s="1135"/>
      <c r="BN1393" s="1135"/>
      <c r="BO1393" s="1135"/>
      <c r="BP1393" s="1135"/>
      <c r="BQ1393" s="1135"/>
      <c r="BR1393" s="1135"/>
      <c r="BS1393" s="1135"/>
      <c r="BT1393" s="1135"/>
    </row>
    <row r="1394" spans="1:72" s="450" customFormat="1" ht="16.350000000000001" customHeight="1" outlineLevel="3">
      <c r="A1394" s="1105"/>
      <c r="B1394" s="1197" t="s">
        <v>917</v>
      </c>
      <c r="C1394" s="1201"/>
      <c r="D1394" s="1201"/>
      <c r="E1394" s="1201"/>
      <c r="F1394" s="1201"/>
      <c r="G1394" s="1201"/>
      <c r="H1394" s="1201"/>
      <c r="I1394" s="1201"/>
      <c r="J1394" s="1201"/>
      <c r="K1394" s="1201">
        <v>5619626000</v>
      </c>
      <c r="L1394" s="1198"/>
      <c r="M1394" s="1198"/>
      <c r="N1394" s="1198"/>
      <c r="O1394" s="1198"/>
      <c r="P1394" s="1198"/>
      <c r="Q1394" s="1198"/>
      <c r="R1394" s="1110"/>
      <c r="S1394" s="1135"/>
      <c r="T1394" s="1135"/>
      <c r="U1394" s="1135"/>
      <c r="V1394" s="1135"/>
      <c r="W1394" s="1135"/>
      <c r="X1394" s="1135"/>
      <c r="Y1394" s="1135"/>
      <c r="Z1394" s="1135"/>
      <c r="AA1394" s="1135"/>
      <c r="AB1394" s="1135"/>
      <c r="AC1394" s="1135"/>
      <c r="AD1394" s="1135"/>
      <c r="AE1394" s="1135"/>
      <c r="AF1394" s="1135"/>
      <c r="AG1394" s="1135"/>
      <c r="AH1394" s="1135"/>
      <c r="AI1394" s="1135"/>
      <c r="AJ1394" s="1135"/>
      <c r="AK1394" s="1135"/>
      <c r="AL1394" s="1135"/>
      <c r="AM1394" s="1135"/>
      <c r="AN1394" s="1135"/>
      <c r="AO1394" s="1135"/>
      <c r="AP1394" s="1135"/>
      <c r="AQ1394" s="1135"/>
      <c r="AR1394" s="1135"/>
      <c r="AS1394" s="1135"/>
      <c r="AT1394" s="1135"/>
      <c r="AU1394" s="1135"/>
      <c r="AV1394" s="1135"/>
      <c r="AW1394" s="1135"/>
      <c r="AX1394" s="1135"/>
      <c r="AY1394" s="1135"/>
      <c r="AZ1394" s="1135"/>
      <c r="BA1394" s="1135"/>
      <c r="BB1394" s="1135"/>
      <c r="BC1394" s="1135"/>
      <c r="BD1394" s="1135"/>
      <c r="BE1394" s="1135"/>
      <c r="BF1394" s="1135"/>
      <c r="BG1394" s="1135"/>
      <c r="BH1394" s="1135"/>
      <c r="BI1394" s="1135"/>
      <c r="BJ1394" s="1135"/>
      <c r="BK1394" s="1135"/>
      <c r="BL1394" s="1135"/>
      <c r="BM1394" s="1135"/>
      <c r="BN1394" s="1135"/>
      <c r="BO1394" s="1135"/>
      <c r="BP1394" s="1135"/>
      <c r="BQ1394" s="1135"/>
      <c r="BR1394" s="1135"/>
      <c r="BS1394" s="1135"/>
      <c r="BT1394" s="1135"/>
    </row>
    <row r="1395" spans="1:72" s="290" customFormat="1" ht="16.350000000000001" customHeight="1" outlineLevel="2">
      <c r="A1395" s="1105"/>
      <c r="B1395" s="1181" t="s">
        <v>36</v>
      </c>
      <c r="C1395" s="1194"/>
      <c r="D1395" s="1194"/>
      <c r="E1395" s="1194"/>
      <c r="F1395" s="1194"/>
      <c r="G1395" s="1194"/>
      <c r="H1395" s="1194"/>
      <c r="I1395" s="1194"/>
      <c r="J1395" s="1194">
        <v>3728000</v>
      </c>
      <c r="K1395" s="1194"/>
      <c r="L1395" s="1202"/>
      <c r="M1395" s="1202"/>
      <c r="N1395" s="1202"/>
      <c r="O1395" s="1202"/>
      <c r="P1395" s="1202"/>
      <c r="Q1395" s="1202"/>
      <c r="R1395" s="1110"/>
      <c r="S1395" s="1160"/>
      <c r="T1395" s="1160"/>
      <c r="U1395" s="1160"/>
      <c r="V1395" s="1160"/>
      <c r="W1395" s="1160"/>
      <c r="X1395" s="1160"/>
      <c r="Y1395" s="1160"/>
      <c r="Z1395" s="1160"/>
      <c r="AA1395" s="1160"/>
      <c r="AB1395" s="1160"/>
      <c r="AC1395" s="1160"/>
      <c r="AD1395" s="1160"/>
      <c r="AE1395" s="1160"/>
      <c r="AF1395" s="1160"/>
      <c r="AG1395" s="1160"/>
      <c r="AH1395" s="1160"/>
      <c r="AI1395" s="1160"/>
      <c r="AJ1395" s="1160"/>
      <c r="AK1395" s="1160"/>
      <c r="AL1395" s="1160"/>
      <c r="AM1395" s="1160"/>
      <c r="AN1395" s="1160"/>
      <c r="AO1395" s="1160"/>
      <c r="AP1395" s="1160"/>
      <c r="AQ1395" s="1160"/>
      <c r="AR1395" s="1160"/>
      <c r="AS1395" s="1160"/>
      <c r="AT1395" s="1160"/>
      <c r="AU1395" s="1160"/>
      <c r="AV1395" s="1160"/>
      <c r="AW1395" s="1160"/>
      <c r="AX1395" s="1160"/>
      <c r="AY1395" s="1160"/>
      <c r="AZ1395" s="1160"/>
      <c r="BA1395" s="1160"/>
      <c r="BB1395" s="1160"/>
      <c r="BC1395" s="1160"/>
      <c r="BD1395" s="1160"/>
      <c r="BE1395" s="1160"/>
      <c r="BF1395" s="1160"/>
      <c r="BG1395" s="1160"/>
      <c r="BH1395" s="1160"/>
      <c r="BI1395" s="1160"/>
      <c r="BJ1395" s="1160"/>
      <c r="BK1395" s="1160"/>
      <c r="BL1395" s="1160"/>
      <c r="BM1395" s="1160"/>
      <c r="BN1395" s="1160"/>
      <c r="BO1395" s="1160"/>
      <c r="BP1395" s="1160"/>
      <c r="BQ1395" s="1160"/>
      <c r="BR1395" s="1160"/>
      <c r="BS1395" s="1160"/>
      <c r="BT1395" s="1160"/>
    </row>
    <row r="1396" spans="1:72" s="450" customFormat="1" ht="16.350000000000001" customHeight="1" outlineLevel="2" collapsed="1">
      <c r="A1396" s="1105"/>
      <c r="B1396" s="1197" t="s">
        <v>918</v>
      </c>
      <c r="C1396" s="1201"/>
      <c r="D1396" s="1201">
        <v>-301375000</v>
      </c>
      <c r="E1396" s="1201">
        <v>-37098000</v>
      </c>
      <c r="F1396" s="1201">
        <v>-628839000</v>
      </c>
      <c r="G1396" s="1201">
        <v>-549386000</v>
      </c>
      <c r="H1396" s="1201">
        <v>-377503000</v>
      </c>
      <c r="I1396" s="1201">
        <v>-11966433000</v>
      </c>
      <c r="J1396" s="1201">
        <v>-12466104000</v>
      </c>
      <c r="K1396" s="1201">
        <v>-346217000</v>
      </c>
      <c r="L1396" s="1198"/>
      <c r="M1396" s="1198"/>
      <c r="N1396" s="1198"/>
      <c r="O1396" s="1198"/>
      <c r="P1396" s="1198"/>
      <c r="Q1396" s="1198"/>
      <c r="R1396" s="1110"/>
      <c r="S1396" s="1135"/>
      <c r="T1396" s="1135"/>
      <c r="U1396" s="1135"/>
      <c r="V1396" s="1135"/>
      <c r="W1396" s="1135"/>
      <c r="X1396" s="1135"/>
      <c r="Y1396" s="1135"/>
      <c r="Z1396" s="1135"/>
      <c r="AA1396" s="1135"/>
      <c r="AB1396" s="1135"/>
      <c r="AC1396" s="1135"/>
      <c r="AD1396" s="1135"/>
      <c r="AE1396" s="1135"/>
      <c r="AF1396" s="1135"/>
      <c r="AG1396" s="1135"/>
      <c r="AH1396" s="1135"/>
      <c r="AI1396" s="1135"/>
      <c r="AJ1396" s="1135"/>
      <c r="AK1396" s="1135"/>
      <c r="AL1396" s="1135"/>
      <c r="AM1396" s="1135"/>
      <c r="AN1396" s="1135"/>
      <c r="AO1396" s="1135"/>
      <c r="AP1396" s="1135"/>
      <c r="AQ1396" s="1135"/>
      <c r="AR1396" s="1135"/>
      <c r="AS1396" s="1135"/>
      <c r="AT1396" s="1135"/>
      <c r="AU1396" s="1135"/>
      <c r="AV1396" s="1135"/>
      <c r="AW1396" s="1135"/>
      <c r="AX1396" s="1135"/>
      <c r="AY1396" s="1135"/>
      <c r="AZ1396" s="1135"/>
      <c r="BA1396" s="1135"/>
      <c r="BB1396" s="1135"/>
      <c r="BC1396" s="1135"/>
      <c r="BD1396" s="1135"/>
      <c r="BE1396" s="1135"/>
      <c r="BF1396" s="1135"/>
      <c r="BG1396" s="1135"/>
      <c r="BH1396" s="1135"/>
      <c r="BI1396" s="1135"/>
      <c r="BJ1396" s="1135"/>
      <c r="BK1396" s="1135"/>
      <c r="BL1396" s="1135"/>
      <c r="BM1396" s="1135"/>
      <c r="BN1396" s="1135"/>
      <c r="BO1396" s="1135"/>
      <c r="BP1396" s="1135"/>
      <c r="BQ1396" s="1135"/>
      <c r="BR1396" s="1135"/>
      <c r="BS1396" s="1135"/>
      <c r="BT1396" s="1135"/>
    </row>
    <row r="1397" spans="1:72" s="450" customFormat="1" ht="16.350000000000001" customHeight="1" outlineLevel="1">
      <c r="A1397" s="1105"/>
      <c r="B1397" s="1121" t="s">
        <v>919</v>
      </c>
      <c r="C1397" s="1201"/>
      <c r="D1397" s="1201">
        <v>2975361000</v>
      </c>
      <c r="E1397" s="1201">
        <v>1100568000</v>
      </c>
      <c r="F1397" s="1201"/>
      <c r="G1397" s="1201"/>
      <c r="H1397" s="1201"/>
      <c r="I1397" s="1201"/>
      <c r="J1397" s="1201"/>
      <c r="K1397" s="1201"/>
      <c r="L1397" s="1198"/>
      <c r="M1397" s="1198"/>
      <c r="N1397" s="1198"/>
      <c r="O1397" s="1198"/>
      <c r="P1397" s="1198"/>
      <c r="Q1397" s="1198"/>
      <c r="R1397" s="1110"/>
      <c r="S1397" s="1135"/>
      <c r="T1397" s="1135"/>
      <c r="U1397" s="1135"/>
      <c r="V1397" s="1135"/>
      <c r="W1397" s="1135"/>
      <c r="X1397" s="1135"/>
      <c r="Y1397" s="1135"/>
      <c r="Z1397" s="1135"/>
      <c r="AA1397" s="1135"/>
      <c r="AB1397" s="1135"/>
      <c r="AC1397" s="1135"/>
      <c r="AD1397" s="1135"/>
      <c r="AE1397" s="1135"/>
      <c r="AF1397" s="1135"/>
      <c r="AG1397" s="1135"/>
      <c r="AH1397" s="1135"/>
      <c r="AI1397" s="1135"/>
      <c r="AJ1397" s="1135"/>
      <c r="AK1397" s="1135"/>
      <c r="AL1397" s="1135"/>
      <c r="AM1397" s="1135"/>
      <c r="AN1397" s="1135"/>
      <c r="AO1397" s="1135"/>
      <c r="AP1397" s="1135"/>
      <c r="AQ1397" s="1135"/>
      <c r="AR1397" s="1135"/>
      <c r="AS1397" s="1135"/>
      <c r="AT1397" s="1135"/>
      <c r="AU1397" s="1135"/>
      <c r="AV1397" s="1135"/>
      <c r="AW1397" s="1135"/>
      <c r="AX1397" s="1135"/>
      <c r="AY1397" s="1135"/>
      <c r="AZ1397" s="1135"/>
      <c r="BA1397" s="1135"/>
      <c r="BB1397" s="1135"/>
      <c r="BC1397" s="1135"/>
      <c r="BD1397" s="1135"/>
      <c r="BE1397" s="1135"/>
      <c r="BF1397" s="1135"/>
      <c r="BG1397" s="1135"/>
      <c r="BH1397" s="1135"/>
      <c r="BI1397" s="1135"/>
      <c r="BJ1397" s="1135"/>
      <c r="BK1397" s="1135"/>
      <c r="BL1397" s="1135"/>
      <c r="BM1397" s="1135"/>
      <c r="BN1397" s="1135"/>
      <c r="BO1397" s="1135"/>
      <c r="BP1397" s="1135"/>
      <c r="BQ1397" s="1135"/>
      <c r="BR1397" s="1135"/>
      <c r="BS1397" s="1135"/>
      <c r="BT1397" s="1135"/>
    </row>
    <row r="1398" spans="1:72" s="450" customFormat="1" ht="16.350000000000001" customHeight="1" outlineLevel="2">
      <c r="A1398" s="1105"/>
      <c r="B1398" s="1153" t="s">
        <v>838</v>
      </c>
      <c r="C1398" s="1201"/>
      <c r="D1398" s="1201">
        <v>1155991000</v>
      </c>
      <c r="E1398" s="1201">
        <v>0</v>
      </c>
      <c r="F1398" s="1201"/>
      <c r="G1398" s="1201"/>
      <c r="H1398" s="1201"/>
      <c r="I1398" s="1201"/>
      <c r="J1398" s="1201"/>
      <c r="K1398" s="1201"/>
      <c r="L1398" s="1198"/>
      <c r="M1398" s="1198"/>
      <c r="N1398" s="1198"/>
      <c r="O1398" s="1198"/>
      <c r="P1398" s="1198"/>
      <c r="Q1398" s="1198"/>
      <c r="R1398" s="1110"/>
      <c r="S1398" s="1135"/>
      <c r="T1398" s="1135"/>
      <c r="U1398" s="1135"/>
      <c r="V1398" s="1135"/>
      <c r="W1398" s="1135"/>
      <c r="X1398" s="1135"/>
      <c r="Y1398" s="1135"/>
      <c r="Z1398" s="1135"/>
      <c r="AA1398" s="1135"/>
      <c r="AB1398" s="1135"/>
      <c r="AC1398" s="1135"/>
      <c r="AD1398" s="1135"/>
      <c r="AE1398" s="1135"/>
      <c r="AF1398" s="1135"/>
      <c r="AG1398" s="1135"/>
      <c r="AH1398" s="1135"/>
      <c r="AI1398" s="1135"/>
      <c r="AJ1398" s="1135"/>
      <c r="AK1398" s="1135"/>
      <c r="AL1398" s="1135"/>
      <c r="AM1398" s="1135"/>
      <c r="AN1398" s="1135"/>
      <c r="AO1398" s="1135"/>
      <c r="AP1398" s="1135"/>
      <c r="AQ1398" s="1135"/>
      <c r="AR1398" s="1135"/>
      <c r="AS1398" s="1135"/>
      <c r="AT1398" s="1135"/>
      <c r="AU1398" s="1135"/>
      <c r="AV1398" s="1135"/>
      <c r="AW1398" s="1135"/>
      <c r="AX1398" s="1135"/>
      <c r="AY1398" s="1135"/>
      <c r="AZ1398" s="1135"/>
      <c r="BA1398" s="1135"/>
      <c r="BB1398" s="1135"/>
      <c r="BC1398" s="1135"/>
      <c r="BD1398" s="1135"/>
      <c r="BE1398" s="1135"/>
      <c r="BF1398" s="1135"/>
      <c r="BG1398" s="1135"/>
      <c r="BH1398" s="1135"/>
      <c r="BI1398" s="1135"/>
      <c r="BJ1398" s="1135"/>
      <c r="BK1398" s="1135"/>
      <c r="BL1398" s="1135"/>
      <c r="BM1398" s="1135"/>
      <c r="BN1398" s="1135"/>
      <c r="BO1398" s="1135"/>
      <c r="BP1398" s="1135"/>
      <c r="BQ1398" s="1135"/>
      <c r="BR1398" s="1135"/>
      <c r="BS1398" s="1135"/>
      <c r="BT1398" s="1135"/>
    </row>
    <row r="1399" spans="1:72" s="450" customFormat="1" ht="16.350000000000001" customHeight="1" outlineLevel="2">
      <c r="A1399" s="1105"/>
      <c r="B1399" s="1197" t="s">
        <v>53</v>
      </c>
      <c r="C1399" s="1201"/>
      <c r="D1399" s="1201">
        <v>1967114000</v>
      </c>
      <c r="E1399" s="1201">
        <v>1258873000</v>
      </c>
      <c r="F1399" s="1201"/>
      <c r="G1399" s="1201"/>
      <c r="H1399" s="1201"/>
      <c r="I1399" s="1201"/>
      <c r="J1399" s="1201"/>
      <c r="K1399" s="1201"/>
      <c r="L1399" s="1198"/>
      <c r="M1399" s="1198"/>
      <c r="N1399" s="1198"/>
      <c r="O1399" s="1198"/>
      <c r="P1399" s="1198"/>
      <c r="Q1399" s="1198"/>
      <c r="R1399" s="1110"/>
      <c r="S1399" s="1135"/>
      <c r="T1399" s="1135"/>
      <c r="U1399" s="1135"/>
      <c r="V1399" s="1135"/>
      <c r="W1399" s="1135"/>
      <c r="X1399" s="1135"/>
      <c r="Y1399" s="1135"/>
      <c r="Z1399" s="1135"/>
      <c r="AA1399" s="1135"/>
      <c r="AB1399" s="1135"/>
      <c r="AC1399" s="1135"/>
      <c r="AD1399" s="1135"/>
      <c r="AE1399" s="1135"/>
      <c r="AF1399" s="1135"/>
      <c r="AG1399" s="1135"/>
      <c r="AH1399" s="1135"/>
      <c r="AI1399" s="1135"/>
      <c r="AJ1399" s="1135"/>
      <c r="AK1399" s="1135"/>
      <c r="AL1399" s="1135"/>
      <c r="AM1399" s="1135"/>
      <c r="AN1399" s="1135"/>
      <c r="AO1399" s="1135"/>
      <c r="AP1399" s="1135"/>
      <c r="AQ1399" s="1135"/>
      <c r="AR1399" s="1135"/>
      <c r="AS1399" s="1135"/>
      <c r="AT1399" s="1135"/>
      <c r="AU1399" s="1135"/>
      <c r="AV1399" s="1135"/>
      <c r="AW1399" s="1135"/>
      <c r="AX1399" s="1135"/>
      <c r="AY1399" s="1135"/>
      <c r="AZ1399" s="1135"/>
      <c r="BA1399" s="1135"/>
      <c r="BB1399" s="1135"/>
      <c r="BC1399" s="1135"/>
      <c r="BD1399" s="1135"/>
      <c r="BE1399" s="1135"/>
      <c r="BF1399" s="1135"/>
      <c r="BG1399" s="1135"/>
      <c r="BH1399" s="1135"/>
      <c r="BI1399" s="1135"/>
      <c r="BJ1399" s="1135"/>
      <c r="BK1399" s="1135"/>
      <c r="BL1399" s="1135"/>
      <c r="BM1399" s="1135"/>
      <c r="BN1399" s="1135"/>
      <c r="BO1399" s="1135"/>
      <c r="BP1399" s="1135"/>
      <c r="BQ1399" s="1135"/>
      <c r="BR1399" s="1135"/>
      <c r="BS1399" s="1135"/>
      <c r="BT1399" s="1135"/>
    </row>
    <row r="1400" spans="1:72" s="450" customFormat="1" ht="16.350000000000001" customHeight="1" outlineLevel="2">
      <c r="A1400" s="1105"/>
      <c r="B1400" s="1197" t="s">
        <v>861</v>
      </c>
      <c r="C1400" s="1201"/>
      <c r="D1400" s="1201">
        <v>-85404000</v>
      </c>
      <c r="E1400" s="1201">
        <v>-102882000</v>
      </c>
      <c r="F1400" s="1201"/>
      <c r="G1400" s="1201"/>
      <c r="H1400" s="1201"/>
      <c r="I1400" s="1201"/>
      <c r="J1400" s="1201"/>
      <c r="K1400" s="1201"/>
      <c r="L1400" s="1198"/>
      <c r="M1400" s="1198"/>
      <c r="N1400" s="1198"/>
      <c r="O1400" s="1198"/>
      <c r="P1400" s="1198"/>
      <c r="Q1400" s="1198"/>
      <c r="R1400" s="1110"/>
      <c r="S1400" s="1135"/>
      <c r="T1400" s="1135"/>
      <c r="U1400" s="1135"/>
      <c r="V1400" s="1135"/>
      <c r="W1400" s="1135"/>
      <c r="X1400" s="1135"/>
      <c r="Y1400" s="1135"/>
      <c r="Z1400" s="1135"/>
      <c r="AA1400" s="1135"/>
      <c r="AB1400" s="1135"/>
      <c r="AC1400" s="1135"/>
      <c r="AD1400" s="1135"/>
      <c r="AE1400" s="1135"/>
      <c r="AF1400" s="1135"/>
      <c r="AG1400" s="1135"/>
      <c r="AH1400" s="1135"/>
      <c r="AI1400" s="1135"/>
      <c r="AJ1400" s="1135"/>
      <c r="AK1400" s="1135"/>
      <c r="AL1400" s="1135"/>
      <c r="AM1400" s="1135"/>
      <c r="AN1400" s="1135"/>
      <c r="AO1400" s="1135"/>
      <c r="AP1400" s="1135"/>
      <c r="AQ1400" s="1135"/>
      <c r="AR1400" s="1135"/>
      <c r="AS1400" s="1135"/>
      <c r="AT1400" s="1135"/>
      <c r="AU1400" s="1135"/>
      <c r="AV1400" s="1135"/>
      <c r="AW1400" s="1135"/>
      <c r="AX1400" s="1135"/>
      <c r="AY1400" s="1135"/>
      <c r="AZ1400" s="1135"/>
      <c r="BA1400" s="1135"/>
      <c r="BB1400" s="1135"/>
      <c r="BC1400" s="1135"/>
      <c r="BD1400" s="1135"/>
      <c r="BE1400" s="1135"/>
      <c r="BF1400" s="1135"/>
      <c r="BG1400" s="1135"/>
      <c r="BH1400" s="1135"/>
      <c r="BI1400" s="1135"/>
      <c r="BJ1400" s="1135"/>
      <c r="BK1400" s="1135"/>
      <c r="BL1400" s="1135"/>
      <c r="BM1400" s="1135"/>
      <c r="BN1400" s="1135"/>
      <c r="BO1400" s="1135"/>
      <c r="BP1400" s="1135"/>
      <c r="BQ1400" s="1135"/>
      <c r="BR1400" s="1135"/>
      <c r="BS1400" s="1135"/>
      <c r="BT1400" s="1135"/>
    </row>
    <row r="1401" spans="1:72" s="450" customFormat="1" ht="16.350000000000001" customHeight="1" outlineLevel="2">
      <c r="A1401" s="1105"/>
      <c r="B1401" s="1153" t="s">
        <v>842</v>
      </c>
      <c r="C1401" s="1201"/>
      <c r="D1401" s="1201">
        <v>3037701000</v>
      </c>
      <c r="E1401" s="1201">
        <v>1155991000</v>
      </c>
      <c r="F1401" s="1201"/>
      <c r="G1401" s="1201"/>
      <c r="H1401" s="1201"/>
      <c r="I1401" s="1201"/>
      <c r="J1401" s="1201"/>
      <c r="K1401" s="1201"/>
      <c r="L1401" s="1198"/>
      <c r="M1401" s="1198"/>
      <c r="N1401" s="1198"/>
      <c r="O1401" s="1198"/>
      <c r="P1401" s="1198"/>
      <c r="Q1401" s="1198"/>
      <c r="R1401" s="1110"/>
      <c r="S1401" s="1135"/>
      <c r="T1401" s="1135"/>
      <c r="U1401" s="1135"/>
      <c r="V1401" s="1135"/>
      <c r="W1401" s="1135"/>
      <c r="X1401" s="1135"/>
      <c r="Y1401" s="1135"/>
      <c r="Z1401" s="1135"/>
      <c r="AA1401" s="1135"/>
      <c r="AB1401" s="1135"/>
      <c r="AC1401" s="1135"/>
      <c r="AD1401" s="1135"/>
      <c r="AE1401" s="1135"/>
      <c r="AF1401" s="1135"/>
      <c r="AG1401" s="1135"/>
      <c r="AH1401" s="1135"/>
      <c r="AI1401" s="1135"/>
      <c r="AJ1401" s="1135"/>
      <c r="AK1401" s="1135"/>
      <c r="AL1401" s="1135"/>
      <c r="AM1401" s="1135"/>
      <c r="AN1401" s="1135"/>
      <c r="AO1401" s="1135"/>
      <c r="AP1401" s="1135"/>
      <c r="AQ1401" s="1135"/>
      <c r="AR1401" s="1135"/>
      <c r="AS1401" s="1135"/>
      <c r="AT1401" s="1135"/>
      <c r="AU1401" s="1135"/>
      <c r="AV1401" s="1135"/>
      <c r="AW1401" s="1135"/>
      <c r="AX1401" s="1135"/>
      <c r="AY1401" s="1135"/>
      <c r="AZ1401" s="1135"/>
      <c r="BA1401" s="1135"/>
      <c r="BB1401" s="1135"/>
      <c r="BC1401" s="1135"/>
      <c r="BD1401" s="1135"/>
      <c r="BE1401" s="1135"/>
      <c r="BF1401" s="1135"/>
      <c r="BG1401" s="1135"/>
      <c r="BH1401" s="1135"/>
      <c r="BI1401" s="1135"/>
      <c r="BJ1401" s="1135"/>
      <c r="BK1401" s="1135"/>
      <c r="BL1401" s="1135"/>
      <c r="BM1401" s="1135"/>
      <c r="BN1401" s="1135"/>
      <c r="BO1401" s="1135"/>
      <c r="BP1401" s="1135"/>
      <c r="BQ1401" s="1135"/>
      <c r="BR1401" s="1135"/>
      <c r="BS1401" s="1135"/>
      <c r="BT1401" s="1135"/>
    </row>
    <row r="1402" spans="1:72" s="450" customFormat="1" ht="16.350000000000001" customHeight="1" outlineLevel="2">
      <c r="A1402" s="1105"/>
      <c r="B1402" s="1153" t="s">
        <v>920</v>
      </c>
      <c r="C1402" s="1201"/>
      <c r="D1402" s="1201">
        <v>62340000</v>
      </c>
      <c r="E1402" s="1201">
        <v>55423000</v>
      </c>
      <c r="F1402" s="1201"/>
      <c r="G1402" s="1201"/>
      <c r="H1402" s="1201"/>
      <c r="I1402" s="1201"/>
      <c r="J1402" s="1201"/>
      <c r="K1402" s="1201"/>
      <c r="L1402" s="1198"/>
      <c r="M1402" s="1198"/>
      <c r="N1402" s="1198"/>
      <c r="O1402" s="1198"/>
      <c r="P1402" s="1198"/>
      <c r="Q1402" s="1198"/>
      <c r="R1402" s="1110"/>
      <c r="S1402" s="1135"/>
      <c r="T1402" s="1135"/>
      <c r="U1402" s="1135"/>
      <c r="V1402" s="1135"/>
      <c r="W1402" s="1135"/>
      <c r="X1402" s="1135"/>
      <c r="Y1402" s="1135"/>
      <c r="Z1402" s="1135"/>
      <c r="AA1402" s="1135"/>
      <c r="AB1402" s="1135"/>
      <c r="AC1402" s="1135"/>
      <c r="AD1402" s="1135"/>
      <c r="AE1402" s="1135"/>
      <c r="AF1402" s="1135"/>
      <c r="AG1402" s="1135"/>
      <c r="AH1402" s="1135"/>
      <c r="AI1402" s="1135"/>
      <c r="AJ1402" s="1135"/>
      <c r="AK1402" s="1135"/>
      <c r="AL1402" s="1135"/>
      <c r="AM1402" s="1135"/>
      <c r="AN1402" s="1135"/>
      <c r="AO1402" s="1135"/>
      <c r="AP1402" s="1135"/>
      <c r="AQ1402" s="1135"/>
      <c r="AR1402" s="1135"/>
      <c r="AS1402" s="1135"/>
      <c r="AT1402" s="1135"/>
      <c r="AU1402" s="1135"/>
      <c r="AV1402" s="1135"/>
      <c r="AW1402" s="1135"/>
      <c r="AX1402" s="1135"/>
      <c r="AY1402" s="1135"/>
      <c r="AZ1402" s="1135"/>
      <c r="BA1402" s="1135"/>
      <c r="BB1402" s="1135"/>
      <c r="BC1402" s="1135"/>
      <c r="BD1402" s="1135"/>
      <c r="BE1402" s="1135"/>
      <c r="BF1402" s="1135"/>
      <c r="BG1402" s="1135"/>
      <c r="BH1402" s="1135"/>
      <c r="BI1402" s="1135"/>
      <c r="BJ1402" s="1135"/>
      <c r="BK1402" s="1135"/>
      <c r="BL1402" s="1135"/>
      <c r="BM1402" s="1135"/>
      <c r="BN1402" s="1135"/>
      <c r="BO1402" s="1135"/>
      <c r="BP1402" s="1135"/>
      <c r="BQ1402" s="1135"/>
      <c r="BR1402" s="1135"/>
      <c r="BS1402" s="1135"/>
      <c r="BT1402" s="1135"/>
    </row>
    <row r="1403" spans="1:72" s="450" customFormat="1" ht="16.350000000000001" customHeight="1" outlineLevel="2">
      <c r="A1403" s="1105"/>
      <c r="B1403" s="1153" t="s">
        <v>921</v>
      </c>
      <c r="C1403" s="1201"/>
      <c r="D1403" s="1201">
        <v>2975361000</v>
      </c>
      <c r="E1403" s="1201">
        <v>1100568000</v>
      </c>
      <c r="F1403" s="1201"/>
      <c r="G1403" s="1201"/>
      <c r="H1403" s="1201"/>
      <c r="I1403" s="1201"/>
      <c r="J1403" s="1201"/>
      <c r="K1403" s="1201"/>
      <c r="L1403" s="1198"/>
      <c r="M1403" s="1198"/>
      <c r="N1403" s="1198"/>
      <c r="O1403" s="1198"/>
      <c r="P1403" s="1198"/>
      <c r="Q1403" s="1198"/>
      <c r="R1403" s="1110"/>
      <c r="S1403" s="1135"/>
      <c r="T1403" s="1135"/>
      <c r="U1403" s="1135"/>
      <c r="V1403" s="1135"/>
      <c r="W1403" s="1135"/>
      <c r="X1403" s="1135"/>
      <c r="Y1403" s="1135"/>
      <c r="Z1403" s="1135"/>
      <c r="AA1403" s="1135"/>
      <c r="AB1403" s="1135"/>
      <c r="AC1403" s="1135"/>
      <c r="AD1403" s="1135"/>
      <c r="AE1403" s="1135"/>
      <c r="AF1403" s="1135"/>
      <c r="AG1403" s="1135"/>
      <c r="AH1403" s="1135"/>
      <c r="AI1403" s="1135"/>
      <c r="AJ1403" s="1135"/>
      <c r="AK1403" s="1135"/>
      <c r="AL1403" s="1135"/>
      <c r="AM1403" s="1135"/>
      <c r="AN1403" s="1135"/>
      <c r="AO1403" s="1135"/>
      <c r="AP1403" s="1135"/>
      <c r="AQ1403" s="1135"/>
      <c r="AR1403" s="1135"/>
      <c r="AS1403" s="1135"/>
      <c r="AT1403" s="1135"/>
      <c r="AU1403" s="1135"/>
      <c r="AV1403" s="1135"/>
      <c r="AW1403" s="1135"/>
      <c r="AX1403" s="1135"/>
      <c r="AY1403" s="1135"/>
      <c r="AZ1403" s="1135"/>
      <c r="BA1403" s="1135"/>
      <c r="BB1403" s="1135"/>
      <c r="BC1403" s="1135"/>
      <c r="BD1403" s="1135"/>
      <c r="BE1403" s="1135"/>
      <c r="BF1403" s="1135"/>
      <c r="BG1403" s="1135"/>
      <c r="BH1403" s="1135"/>
      <c r="BI1403" s="1135"/>
      <c r="BJ1403" s="1135"/>
      <c r="BK1403" s="1135"/>
      <c r="BL1403" s="1135"/>
      <c r="BM1403" s="1135"/>
      <c r="BN1403" s="1135"/>
      <c r="BO1403" s="1135"/>
      <c r="BP1403" s="1135"/>
      <c r="BQ1403" s="1135"/>
      <c r="BR1403" s="1135"/>
      <c r="BS1403" s="1135"/>
      <c r="BT1403" s="1135"/>
    </row>
    <row r="1404" spans="1:72" s="290" customFormat="1" ht="16.350000000000001" customHeight="1" outlineLevel="1">
      <c r="A1404" s="1105"/>
      <c r="B1404" s="1121" t="s">
        <v>922</v>
      </c>
      <c r="C1404" s="1194"/>
      <c r="D1404" s="1194"/>
      <c r="E1404" s="1194">
        <v>0</v>
      </c>
      <c r="F1404" s="1194">
        <v>0</v>
      </c>
      <c r="G1404" s="1194">
        <v>0</v>
      </c>
      <c r="H1404" s="1194">
        <v>0</v>
      </c>
      <c r="I1404" s="1194">
        <v>0</v>
      </c>
      <c r="J1404" s="1194">
        <v>0</v>
      </c>
      <c r="K1404" s="1194">
        <v>12702000</v>
      </c>
      <c r="L1404" s="1202"/>
      <c r="M1404" s="1202"/>
      <c r="N1404" s="1202"/>
      <c r="O1404" s="1202"/>
      <c r="P1404" s="1202"/>
      <c r="Q1404" s="1202"/>
      <c r="R1404" s="1110"/>
      <c r="S1404" s="1160"/>
      <c r="T1404" s="1160"/>
      <c r="U1404" s="1160"/>
      <c r="V1404" s="1160"/>
      <c r="W1404" s="1160"/>
      <c r="X1404" s="1160"/>
      <c r="Y1404" s="1160"/>
      <c r="Z1404" s="1160"/>
      <c r="AA1404" s="1160"/>
      <c r="AB1404" s="1160"/>
      <c r="AC1404" s="1160"/>
      <c r="AD1404" s="1160"/>
      <c r="AE1404" s="1160"/>
      <c r="AF1404" s="1160"/>
      <c r="AG1404" s="1160"/>
      <c r="AH1404" s="1160"/>
      <c r="AI1404" s="1160"/>
      <c r="AJ1404" s="1160"/>
      <c r="AK1404" s="1160"/>
      <c r="AL1404" s="1160"/>
      <c r="AM1404" s="1160"/>
      <c r="AN1404" s="1160"/>
      <c r="AO1404" s="1160"/>
      <c r="AP1404" s="1160"/>
      <c r="AQ1404" s="1160"/>
      <c r="AR1404" s="1160"/>
      <c r="AS1404" s="1160"/>
      <c r="AT1404" s="1160"/>
      <c r="AU1404" s="1160"/>
      <c r="AV1404" s="1160"/>
      <c r="AW1404" s="1160"/>
      <c r="AX1404" s="1160"/>
      <c r="AY1404" s="1160"/>
      <c r="AZ1404" s="1160"/>
      <c r="BA1404" s="1160"/>
      <c r="BB1404" s="1160"/>
      <c r="BC1404" s="1160"/>
      <c r="BD1404" s="1160"/>
      <c r="BE1404" s="1160"/>
      <c r="BF1404" s="1160"/>
      <c r="BG1404" s="1160"/>
      <c r="BH1404" s="1160"/>
      <c r="BI1404" s="1160"/>
      <c r="BJ1404" s="1160"/>
      <c r="BK1404" s="1160"/>
      <c r="BL1404" s="1160"/>
      <c r="BM1404" s="1160"/>
      <c r="BN1404" s="1160"/>
      <c r="BO1404" s="1160"/>
      <c r="BP1404" s="1160"/>
      <c r="BQ1404" s="1160"/>
      <c r="BR1404" s="1160"/>
      <c r="BS1404" s="1160"/>
      <c r="BT1404" s="1160"/>
    </row>
    <row r="1405" spans="1:72" s="290" customFormat="1" ht="16.350000000000001" customHeight="1" outlineLevel="1">
      <c r="A1405" s="1105"/>
      <c r="B1405" s="1121" t="s">
        <v>923</v>
      </c>
      <c r="C1405" s="1194"/>
      <c r="D1405" s="1194">
        <v>408734000</v>
      </c>
      <c r="E1405" s="1194">
        <v>0</v>
      </c>
      <c r="F1405" s="1194">
        <v>26420000</v>
      </c>
      <c r="G1405" s="1194">
        <v>114311000</v>
      </c>
      <c r="H1405" s="1194">
        <v>201965000</v>
      </c>
      <c r="I1405" s="1194">
        <v>289622000</v>
      </c>
      <c r="J1405" s="1194">
        <v>0</v>
      </c>
      <c r="K1405" s="1194">
        <v>0</v>
      </c>
      <c r="L1405" s="1202"/>
      <c r="M1405" s="1202"/>
      <c r="N1405" s="1202"/>
      <c r="O1405" s="1202"/>
      <c r="P1405" s="1202"/>
      <c r="Q1405" s="1202"/>
      <c r="R1405" s="1110"/>
      <c r="S1405" s="1160"/>
      <c r="T1405" s="1160"/>
      <c r="U1405" s="1160"/>
      <c r="V1405" s="1160"/>
      <c r="W1405" s="1160"/>
      <c r="X1405" s="1160"/>
      <c r="Y1405" s="1160"/>
      <c r="Z1405" s="1160"/>
      <c r="AA1405" s="1160"/>
      <c r="AB1405" s="1160"/>
      <c r="AC1405" s="1160"/>
      <c r="AD1405" s="1160"/>
      <c r="AE1405" s="1160"/>
      <c r="AF1405" s="1160"/>
      <c r="AG1405" s="1160"/>
      <c r="AH1405" s="1160"/>
      <c r="AI1405" s="1160"/>
      <c r="AJ1405" s="1160"/>
      <c r="AK1405" s="1160"/>
      <c r="AL1405" s="1160"/>
      <c r="AM1405" s="1160"/>
      <c r="AN1405" s="1160"/>
      <c r="AO1405" s="1160"/>
      <c r="AP1405" s="1160"/>
      <c r="AQ1405" s="1160"/>
      <c r="AR1405" s="1160"/>
      <c r="AS1405" s="1160"/>
      <c r="AT1405" s="1160"/>
      <c r="AU1405" s="1160"/>
      <c r="AV1405" s="1160"/>
      <c r="AW1405" s="1160"/>
      <c r="AX1405" s="1160"/>
      <c r="AY1405" s="1160"/>
      <c r="AZ1405" s="1160"/>
      <c r="BA1405" s="1160"/>
      <c r="BB1405" s="1160"/>
      <c r="BC1405" s="1160"/>
      <c r="BD1405" s="1160"/>
      <c r="BE1405" s="1160"/>
      <c r="BF1405" s="1160"/>
      <c r="BG1405" s="1160"/>
      <c r="BH1405" s="1160"/>
      <c r="BI1405" s="1160"/>
      <c r="BJ1405" s="1160"/>
      <c r="BK1405" s="1160"/>
      <c r="BL1405" s="1160"/>
      <c r="BM1405" s="1160"/>
      <c r="BN1405" s="1160"/>
      <c r="BO1405" s="1160"/>
      <c r="BP1405" s="1160"/>
      <c r="BQ1405" s="1160"/>
      <c r="BR1405" s="1160"/>
      <c r="BS1405" s="1160"/>
      <c r="BT1405" s="1160"/>
    </row>
    <row r="1406" spans="1:72" s="1125" customFormat="1" ht="16.350000000000001" customHeight="1" outlineLevel="1">
      <c r="A1406" s="1105"/>
      <c r="B1406" s="1121" t="s">
        <v>924</v>
      </c>
      <c r="C1406" s="1194"/>
      <c r="D1406" s="1194">
        <v>25550550000</v>
      </c>
      <c r="E1406" s="1194">
        <v>21521720000</v>
      </c>
      <c r="F1406" s="1194">
        <v>15599232000</v>
      </c>
      <c r="G1406" s="1194">
        <f>G1408+G1409+G1410+G1412+G1414</f>
        <v>12884283000</v>
      </c>
      <c r="H1406" s="1194">
        <f>H1408+H1409+H1410+H1412+H1414</f>
        <v>10415743000</v>
      </c>
      <c r="I1406" s="1194">
        <f>I1408+I1409+I1410+I1412+I1414</f>
        <v>8172702000</v>
      </c>
      <c r="J1406" s="1194">
        <f>J1408+J1409+J1410+J1412+J1414</f>
        <v>6159094000</v>
      </c>
      <c r="K1406" s="1194">
        <f>K1408+K1409+K1410+K1412+K1414</f>
        <v>4154947000</v>
      </c>
      <c r="L1406" s="1195"/>
      <c r="M1406" s="1195"/>
      <c r="N1406" s="1195"/>
      <c r="O1406" s="1195"/>
      <c r="P1406" s="1195"/>
      <c r="Q1406" s="1195"/>
      <c r="R1406" s="1110"/>
      <c r="S1406" s="1124"/>
      <c r="T1406" s="1124"/>
      <c r="U1406" s="1124"/>
      <c r="V1406" s="1124"/>
      <c r="W1406" s="1124"/>
      <c r="X1406" s="1124"/>
      <c r="Y1406" s="1124"/>
      <c r="Z1406" s="1124"/>
      <c r="AA1406" s="1124"/>
      <c r="AB1406" s="1124"/>
      <c r="AC1406" s="1124"/>
      <c r="AD1406" s="1124"/>
      <c r="AE1406" s="1124"/>
      <c r="AF1406" s="1124"/>
      <c r="AG1406" s="1124"/>
      <c r="AH1406" s="1124"/>
      <c r="AI1406" s="1124"/>
      <c r="AJ1406" s="1124"/>
      <c r="AK1406" s="1124"/>
      <c r="AL1406" s="1124"/>
      <c r="AM1406" s="1124"/>
      <c r="AN1406" s="1124"/>
      <c r="AO1406" s="1124"/>
      <c r="AP1406" s="1124"/>
      <c r="AQ1406" s="1124"/>
      <c r="AR1406" s="1124"/>
      <c r="AS1406" s="1124"/>
      <c r="AT1406" s="1124"/>
      <c r="AU1406" s="1124"/>
      <c r="AV1406" s="1124"/>
      <c r="AW1406" s="1124"/>
      <c r="AX1406" s="1124"/>
      <c r="AY1406" s="1124"/>
      <c r="AZ1406" s="1124"/>
      <c r="BA1406" s="1124"/>
      <c r="BB1406" s="1124"/>
      <c r="BC1406" s="1124"/>
      <c r="BD1406" s="1124"/>
      <c r="BE1406" s="1124"/>
      <c r="BF1406" s="1124"/>
      <c r="BG1406" s="1124"/>
      <c r="BH1406" s="1124"/>
      <c r="BI1406" s="1124"/>
      <c r="BJ1406" s="1124"/>
      <c r="BK1406" s="1124"/>
      <c r="BL1406" s="1124"/>
      <c r="BM1406" s="1124"/>
      <c r="BN1406" s="1124"/>
      <c r="BO1406" s="1124"/>
      <c r="BP1406" s="1124"/>
      <c r="BQ1406" s="1124"/>
      <c r="BR1406" s="1124"/>
      <c r="BS1406" s="1124"/>
      <c r="BT1406" s="1124"/>
    </row>
    <row r="1407" spans="1:72" s="1125" customFormat="1" ht="16.350000000000001" customHeight="1" outlineLevel="2" collapsed="1">
      <c r="A1407" s="1105"/>
      <c r="B1407" s="1153" t="s">
        <v>925</v>
      </c>
      <c r="C1407" s="1194"/>
      <c r="D1407" s="1194"/>
      <c r="E1407" s="1194"/>
      <c r="F1407" s="1194"/>
      <c r="G1407" s="1194"/>
      <c r="H1407" s="1194"/>
      <c r="I1407" s="1194"/>
      <c r="J1407" s="1194"/>
      <c r="K1407" s="1194"/>
      <c r="L1407" s="1195"/>
      <c r="M1407" s="1195"/>
      <c r="N1407" s="1195"/>
      <c r="O1407" s="1195"/>
      <c r="P1407" s="1195"/>
      <c r="Q1407" s="1195"/>
      <c r="R1407" s="1110"/>
      <c r="S1407" s="1124"/>
      <c r="T1407" s="1124"/>
      <c r="U1407" s="1124"/>
      <c r="V1407" s="1124"/>
      <c r="W1407" s="1124"/>
      <c r="X1407" s="1124"/>
      <c r="Y1407" s="1124"/>
      <c r="Z1407" s="1124"/>
      <c r="AA1407" s="1124"/>
      <c r="AB1407" s="1124"/>
      <c r="AC1407" s="1124"/>
      <c r="AD1407" s="1124"/>
      <c r="AE1407" s="1124"/>
      <c r="AF1407" s="1124"/>
      <c r="AG1407" s="1124"/>
      <c r="AH1407" s="1124"/>
      <c r="AI1407" s="1124"/>
      <c r="AJ1407" s="1124"/>
      <c r="AK1407" s="1124"/>
      <c r="AL1407" s="1124"/>
      <c r="AM1407" s="1124"/>
      <c r="AN1407" s="1124"/>
      <c r="AO1407" s="1124"/>
      <c r="AP1407" s="1124"/>
      <c r="AQ1407" s="1124"/>
      <c r="AR1407" s="1124"/>
      <c r="AS1407" s="1124"/>
      <c r="AT1407" s="1124"/>
      <c r="AU1407" s="1124"/>
      <c r="AV1407" s="1124"/>
      <c r="AW1407" s="1124"/>
      <c r="AX1407" s="1124"/>
      <c r="AY1407" s="1124"/>
      <c r="AZ1407" s="1124"/>
      <c r="BA1407" s="1124"/>
      <c r="BB1407" s="1124"/>
      <c r="BC1407" s="1124"/>
      <c r="BD1407" s="1124"/>
      <c r="BE1407" s="1124"/>
      <c r="BF1407" s="1124"/>
      <c r="BG1407" s="1124"/>
      <c r="BH1407" s="1124"/>
      <c r="BI1407" s="1124"/>
      <c r="BJ1407" s="1124"/>
      <c r="BK1407" s="1124"/>
      <c r="BL1407" s="1124"/>
      <c r="BM1407" s="1124"/>
      <c r="BN1407" s="1124"/>
      <c r="BO1407" s="1124"/>
      <c r="BP1407" s="1124"/>
      <c r="BQ1407" s="1124"/>
      <c r="BR1407" s="1124"/>
      <c r="BS1407" s="1124"/>
      <c r="BT1407" s="1124"/>
    </row>
    <row r="1408" spans="1:72" s="290" customFormat="1" ht="16.350000000000001" customHeight="1" outlineLevel="2" collapsed="1">
      <c r="A1408" s="1105"/>
      <c r="B1408" s="1203" t="s">
        <v>926</v>
      </c>
      <c r="C1408" s="1194"/>
      <c r="D1408" s="1194"/>
      <c r="E1408" s="1194">
        <v>-149449000</v>
      </c>
      <c r="F1408" s="1194">
        <v>-87604000</v>
      </c>
      <c r="G1408" s="1194">
        <v>-68533000</v>
      </c>
      <c r="H1408" s="1194">
        <v>-35318000</v>
      </c>
      <c r="I1408" s="1194">
        <v>-37812000</v>
      </c>
      <c r="J1408" s="1194">
        <v>-3116000</v>
      </c>
      <c r="K1408" s="1194">
        <v>-292587000</v>
      </c>
      <c r="L1408" s="1202"/>
      <c r="M1408" s="1202"/>
      <c r="N1408" s="1202"/>
      <c r="O1408" s="1202"/>
      <c r="P1408" s="1202"/>
      <c r="Q1408" s="1202"/>
      <c r="R1408" s="1110"/>
      <c r="S1408" s="1160"/>
      <c r="T1408" s="1160"/>
      <c r="U1408" s="1160"/>
      <c r="V1408" s="1160"/>
      <c r="W1408" s="1160"/>
      <c r="X1408" s="1160"/>
      <c r="Y1408" s="1160"/>
      <c r="Z1408" s="1160"/>
      <c r="AA1408" s="1160"/>
      <c r="AB1408" s="1160"/>
      <c r="AC1408" s="1160"/>
      <c r="AD1408" s="1160"/>
      <c r="AE1408" s="1160"/>
      <c r="AF1408" s="1160"/>
      <c r="AG1408" s="1160"/>
      <c r="AH1408" s="1160"/>
      <c r="AI1408" s="1160"/>
      <c r="AJ1408" s="1160"/>
      <c r="AK1408" s="1160"/>
      <c r="AL1408" s="1160"/>
      <c r="AM1408" s="1160"/>
      <c r="AN1408" s="1160"/>
      <c r="AO1408" s="1160"/>
      <c r="AP1408" s="1160"/>
      <c r="AQ1408" s="1160"/>
      <c r="AR1408" s="1160"/>
      <c r="AS1408" s="1160"/>
      <c r="AT1408" s="1160"/>
      <c r="AU1408" s="1160"/>
      <c r="AV1408" s="1160"/>
      <c r="AW1408" s="1160"/>
      <c r="AX1408" s="1160"/>
      <c r="AY1408" s="1160"/>
      <c r="AZ1408" s="1160"/>
      <c r="BA1408" s="1160"/>
      <c r="BB1408" s="1160"/>
      <c r="BC1408" s="1160"/>
      <c r="BD1408" s="1160"/>
      <c r="BE1408" s="1160"/>
      <c r="BF1408" s="1160"/>
      <c r="BG1408" s="1160"/>
      <c r="BH1408" s="1160"/>
      <c r="BI1408" s="1160"/>
      <c r="BJ1408" s="1160"/>
      <c r="BK1408" s="1160"/>
      <c r="BL1408" s="1160"/>
      <c r="BM1408" s="1160"/>
      <c r="BN1408" s="1160"/>
      <c r="BO1408" s="1160"/>
      <c r="BP1408" s="1160"/>
      <c r="BQ1408" s="1160"/>
      <c r="BR1408" s="1160"/>
      <c r="BS1408" s="1160"/>
      <c r="BT1408" s="1160"/>
    </row>
    <row r="1409" spans="1:72" s="290" customFormat="1" ht="16.350000000000001" customHeight="1" outlineLevel="2" collapsed="1">
      <c r="A1409" s="1105"/>
      <c r="B1409" s="1203" t="s">
        <v>3</v>
      </c>
      <c r="C1409" s="1194"/>
      <c r="D1409" s="1194"/>
      <c r="E1409" s="1194">
        <v>-217675000</v>
      </c>
      <c r="F1409" s="1194">
        <v>-1952013000</v>
      </c>
      <c r="G1409" s="1194">
        <v>-1723807000</v>
      </c>
      <c r="H1409" s="1194">
        <v>-975612000</v>
      </c>
      <c r="I1409" s="1194">
        <v>-536290000</v>
      </c>
      <c r="J1409" s="1194">
        <v>-197484000</v>
      </c>
      <c r="K1409" s="1194">
        <v>-97010000</v>
      </c>
      <c r="L1409" s="1202"/>
      <c r="M1409" s="1202"/>
      <c r="N1409" s="1202"/>
      <c r="O1409" s="1202"/>
      <c r="P1409" s="1202"/>
      <c r="Q1409" s="1202"/>
      <c r="R1409" s="1110"/>
      <c r="S1409" s="1160"/>
      <c r="T1409" s="1160"/>
      <c r="U1409" s="1160"/>
      <c r="V1409" s="1160"/>
      <c r="W1409" s="1160"/>
      <c r="X1409" s="1160"/>
      <c r="Y1409" s="1160"/>
      <c r="Z1409" s="1160"/>
      <c r="AA1409" s="1160"/>
      <c r="AB1409" s="1160"/>
      <c r="AC1409" s="1160"/>
      <c r="AD1409" s="1160"/>
      <c r="AE1409" s="1160"/>
      <c r="AF1409" s="1160"/>
      <c r="AG1409" s="1160"/>
      <c r="AH1409" s="1160"/>
      <c r="AI1409" s="1160"/>
      <c r="AJ1409" s="1160"/>
      <c r="AK1409" s="1160"/>
      <c r="AL1409" s="1160"/>
      <c r="AM1409" s="1160"/>
      <c r="AN1409" s="1160"/>
      <c r="AO1409" s="1160"/>
      <c r="AP1409" s="1160"/>
      <c r="AQ1409" s="1160"/>
      <c r="AR1409" s="1160"/>
      <c r="AS1409" s="1160"/>
      <c r="AT1409" s="1160"/>
      <c r="AU1409" s="1160"/>
      <c r="AV1409" s="1160"/>
      <c r="AW1409" s="1160"/>
      <c r="AX1409" s="1160"/>
      <c r="AY1409" s="1160"/>
      <c r="AZ1409" s="1160"/>
      <c r="BA1409" s="1160"/>
      <c r="BB1409" s="1160"/>
      <c r="BC1409" s="1160"/>
      <c r="BD1409" s="1160"/>
      <c r="BE1409" s="1160"/>
      <c r="BF1409" s="1160"/>
      <c r="BG1409" s="1160"/>
      <c r="BH1409" s="1160"/>
      <c r="BI1409" s="1160"/>
      <c r="BJ1409" s="1160"/>
      <c r="BK1409" s="1160"/>
      <c r="BL1409" s="1160"/>
      <c r="BM1409" s="1160"/>
      <c r="BN1409" s="1160"/>
      <c r="BO1409" s="1160"/>
      <c r="BP1409" s="1160"/>
      <c r="BQ1409" s="1160"/>
      <c r="BR1409" s="1160"/>
      <c r="BS1409" s="1160"/>
      <c r="BT1409" s="1160"/>
    </row>
    <row r="1410" spans="1:72" s="290" customFormat="1" ht="16.350000000000001" customHeight="1" outlineLevel="2" collapsed="1">
      <c r="A1410" s="1105"/>
      <c r="B1410" s="1203" t="s">
        <v>36</v>
      </c>
      <c r="C1410" s="1194"/>
      <c r="D1410" s="1194"/>
      <c r="E1410" s="1194">
        <v>-616894000</v>
      </c>
      <c r="F1410" s="1194">
        <v>-513834000</v>
      </c>
      <c r="G1410" s="1194">
        <v>-595323000</v>
      </c>
      <c r="H1410" s="1194">
        <v>-540578000</v>
      </c>
      <c r="I1410" s="1194">
        <v>-499665000</v>
      </c>
      <c r="J1410" s="1194">
        <v>-177558000</v>
      </c>
      <c r="K1410" s="1194">
        <v>-129684000</v>
      </c>
      <c r="L1410" s="1202"/>
      <c r="M1410" s="1202"/>
      <c r="N1410" s="1202"/>
      <c r="O1410" s="1202"/>
      <c r="P1410" s="1202"/>
      <c r="Q1410" s="1202"/>
      <c r="R1410" s="1110"/>
      <c r="S1410" s="1160"/>
      <c r="T1410" s="1160"/>
      <c r="U1410" s="1160"/>
      <c r="V1410" s="1160"/>
      <c r="W1410" s="1160"/>
      <c r="X1410" s="1160"/>
      <c r="Y1410" s="1160"/>
      <c r="Z1410" s="1160"/>
      <c r="AA1410" s="1160"/>
      <c r="AB1410" s="1160"/>
      <c r="AC1410" s="1160"/>
      <c r="AD1410" s="1160"/>
      <c r="AE1410" s="1160"/>
      <c r="AF1410" s="1160"/>
      <c r="AG1410" s="1160"/>
      <c r="AH1410" s="1160"/>
      <c r="AI1410" s="1160"/>
      <c r="AJ1410" s="1160"/>
      <c r="AK1410" s="1160"/>
      <c r="AL1410" s="1160"/>
      <c r="AM1410" s="1160"/>
      <c r="AN1410" s="1160"/>
      <c r="AO1410" s="1160"/>
      <c r="AP1410" s="1160"/>
      <c r="AQ1410" s="1160"/>
      <c r="AR1410" s="1160"/>
      <c r="AS1410" s="1160"/>
      <c r="AT1410" s="1160"/>
      <c r="AU1410" s="1160"/>
      <c r="AV1410" s="1160"/>
      <c r="AW1410" s="1160"/>
      <c r="AX1410" s="1160"/>
      <c r="AY1410" s="1160"/>
      <c r="AZ1410" s="1160"/>
      <c r="BA1410" s="1160"/>
      <c r="BB1410" s="1160"/>
      <c r="BC1410" s="1160"/>
      <c r="BD1410" s="1160"/>
      <c r="BE1410" s="1160"/>
      <c r="BF1410" s="1160"/>
      <c r="BG1410" s="1160"/>
      <c r="BH1410" s="1160"/>
      <c r="BI1410" s="1160"/>
      <c r="BJ1410" s="1160"/>
      <c r="BK1410" s="1160"/>
      <c r="BL1410" s="1160"/>
      <c r="BM1410" s="1160"/>
      <c r="BN1410" s="1160"/>
      <c r="BO1410" s="1160"/>
      <c r="BP1410" s="1160"/>
      <c r="BQ1410" s="1160"/>
      <c r="BR1410" s="1160"/>
      <c r="BS1410" s="1160"/>
      <c r="BT1410" s="1160"/>
    </row>
    <row r="1411" spans="1:72" s="1125" customFormat="1" ht="16.350000000000001" customHeight="1" outlineLevel="2" collapsed="1">
      <c r="A1411" s="1105"/>
      <c r="B1411" s="1153" t="s">
        <v>927</v>
      </c>
      <c r="C1411" s="1194"/>
      <c r="D1411" s="1194"/>
      <c r="E1411" s="1194"/>
      <c r="F1411" s="1194"/>
      <c r="G1411" s="1194"/>
      <c r="H1411" s="1194"/>
      <c r="I1411" s="1194"/>
      <c r="J1411" s="1194"/>
      <c r="K1411" s="1194"/>
      <c r="L1411" s="1195"/>
      <c r="M1411" s="1195"/>
      <c r="N1411" s="1195"/>
      <c r="O1411" s="1195"/>
      <c r="P1411" s="1195"/>
      <c r="Q1411" s="1195"/>
      <c r="R1411" s="1110"/>
      <c r="S1411" s="1124"/>
      <c r="T1411" s="1124"/>
      <c r="U1411" s="1124"/>
      <c r="V1411" s="1124"/>
      <c r="W1411" s="1124"/>
      <c r="X1411" s="1124"/>
      <c r="Y1411" s="1124"/>
      <c r="Z1411" s="1124"/>
      <c r="AA1411" s="1124"/>
      <c r="AB1411" s="1124"/>
      <c r="AC1411" s="1124"/>
      <c r="AD1411" s="1124"/>
      <c r="AE1411" s="1124"/>
      <c r="AF1411" s="1124"/>
      <c r="AG1411" s="1124"/>
      <c r="AH1411" s="1124"/>
      <c r="AI1411" s="1124"/>
      <c r="AJ1411" s="1124"/>
      <c r="AK1411" s="1124"/>
      <c r="AL1411" s="1124"/>
      <c r="AM1411" s="1124"/>
      <c r="AN1411" s="1124"/>
      <c r="AO1411" s="1124"/>
      <c r="AP1411" s="1124"/>
      <c r="AQ1411" s="1124"/>
      <c r="AR1411" s="1124"/>
      <c r="AS1411" s="1124"/>
      <c r="AT1411" s="1124"/>
      <c r="AU1411" s="1124"/>
      <c r="AV1411" s="1124"/>
      <c r="AW1411" s="1124"/>
      <c r="AX1411" s="1124"/>
      <c r="AY1411" s="1124"/>
      <c r="AZ1411" s="1124"/>
      <c r="BA1411" s="1124"/>
      <c r="BB1411" s="1124"/>
      <c r="BC1411" s="1124"/>
      <c r="BD1411" s="1124"/>
      <c r="BE1411" s="1124"/>
      <c r="BF1411" s="1124"/>
      <c r="BG1411" s="1124"/>
      <c r="BH1411" s="1124"/>
      <c r="BI1411" s="1124"/>
      <c r="BJ1411" s="1124"/>
      <c r="BK1411" s="1124"/>
      <c r="BL1411" s="1124"/>
      <c r="BM1411" s="1124"/>
      <c r="BN1411" s="1124"/>
      <c r="BO1411" s="1124"/>
      <c r="BP1411" s="1124"/>
      <c r="BQ1411" s="1124"/>
      <c r="BR1411" s="1124"/>
      <c r="BS1411" s="1124"/>
      <c r="BT1411" s="1124"/>
    </row>
    <row r="1412" spans="1:72" s="290" customFormat="1" ht="16.350000000000001" customHeight="1" outlineLevel="2" collapsed="1">
      <c r="A1412" s="1105"/>
      <c r="B1412" s="1203" t="s">
        <v>928</v>
      </c>
      <c r="C1412" s="1194"/>
      <c r="D1412" s="1194"/>
      <c r="E1412" s="1194">
        <v>21427892000</v>
      </c>
      <c r="F1412" s="1194">
        <v>17292548000</v>
      </c>
      <c r="G1412" s="1194">
        <v>14598371000</v>
      </c>
      <c r="H1412" s="1194">
        <v>11259071000</v>
      </c>
      <c r="I1412" s="1194">
        <v>8801962000</v>
      </c>
      <c r="J1412" s="1194">
        <v>6348996000</v>
      </c>
      <c r="K1412" s="1194">
        <v>4605972000</v>
      </c>
      <c r="L1412" s="1202"/>
      <c r="M1412" s="1202"/>
      <c r="N1412" s="1202"/>
      <c r="O1412" s="1202"/>
      <c r="P1412" s="1202"/>
      <c r="Q1412" s="1202"/>
      <c r="R1412" s="1110"/>
      <c r="S1412" s="1160"/>
      <c r="T1412" s="1160"/>
      <c r="U1412" s="1160"/>
      <c r="V1412" s="1160"/>
      <c r="W1412" s="1160"/>
      <c r="X1412" s="1160"/>
      <c r="Y1412" s="1160"/>
      <c r="Z1412" s="1160"/>
      <c r="AA1412" s="1160"/>
      <c r="AB1412" s="1160"/>
      <c r="AC1412" s="1160"/>
      <c r="AD1412" s="1160"/>
      <c r="AE1412" s="1160"/>
      <c r="AF1412" s="1160"/>
      <c r="AG1412" s="1160"/>
      <c r="AH1412" s="1160"/>
      <c r="AI1412" s="1160"/>
      <c r="AJ1412" s="1160"/>
      <c r="AK1412" s="1160"/>
      <c r="AL1412" s="1160"/>
      <c r="AM1412" s="1160"/>
      <c r="AN1412" s="1160"/>
      <c r="AO1412" s="1160"/>
      <c r="AP1412" s="1160"/>
      <c r="AQ1412" s="1160"/>
      <c r="AR1412" s="1160"/>
      <c r="AS1412" s="1160"/>
      <c r="AT1412" s="1160"/>
      <c r="AU1412" s="1160"/>
      <c r="AV1412" s="1160"/>
      <c r="AW1412" s="1160"/>
      <c r="AX1412" s="1160"/>
      <c r="AY1412" s="1160"/>
      <c r="AZ1412" s="1160"/>
      <c r="BA1412" s="1160"/>
      <c r="BB1412" s="1160"/>
      <c r="BC1412" s="1160"/>
      <c r="BD1412" s="1160"/>
      <c r="BE1412" s="1160"/>
      <c r="BF1412" s="1160"/>
      <c r="BG1412" s="1160"/>
      <c r="BH1412" s="1160"/>
      <c r="BI1412" s="1160"/>
      <c r="BJ1412" s="1160"/>
      <c r="BK1412" s="1160"/>
      <c r="BL1412" s="1160"/>
      <c r="BM1412" s="1160"/>
      <c r="BN1412" s="1160"/>
      <c r="BO1412" s="1160"/>
      <c r="BP1412" s="1160"/>
      <c r="BQ1412" s="1160"/>
      <c r="BR1412" s="1160"/>
      <c r="BS1412" s="1160"/>
      <c r="BT1412" s="1160"/>
    </row>
    <row r="1413" spans="1:72" s="290" customFormat="1" ht="16.350000000000001" customHeight="1" outlineLevel="2">
      <c r="A1413" s="1105"/>
      <c r="B1413" s="1203" t="s">
        <v>3</v>
      </c>
      <c r="C1413" s="1194"/>
      <c r="D1413" s="1194"/>
      <c r="E1413" s="1194">
        <v>262983000</v>
      </c>
      <c r="F1413" s="1194"/>
      <c r="G1413" s="1194"/>
      <c r="H1413" s="1194"/>
      <c r="I1413" s="1194"/>
      <c r="J1413" s="1194"/>
      <c r="K1413" s="1194"/>
      <c r="L1413" s="1202"/>
      <c r="M1413" s="1202"/>
      <c r="N1413" s="1202"/>
      <c r="O1413" s="1202"/>
      <c r="P1413" s="1202"/>
      <c r="Q1413" s="1202"/>
      <c r="R1413" s="1110"/>
      <c r="S1413" s="1160"/>
      <c r="T1413" s="1160"/>
      <c r="U1413" s="1160"/>
      <c r="V1413" s="1160"/>
      <c r="W1413" s="1160"/>
      <c r="X1413" s="1160"/>
      <c r="Y1413" s="1160"/>
      <c r="Z1413" s="1160"/>
      <c r="AA1413" s="1160"/>
      <c r="AB1413" s="1160"/>
      <c r="AC1413" s="1160"/>
      <c r="AD1413" s="1160"/>
      <c r="AE1413" s="1160"/>
      <c r="AF1413" s="1160"/>
      <c r="AG1413" s="1160"/>
      <c r="AH1413" s="1160"/>
      <c r="AI1413" s="1160"/>
      <c r="AJ1413" s="1160"/>
      <c r="AK1413" s="1160"/>
      <c r="AL1413" s="1160"/>
      <c r="AM1413" s="1160"/>
      <c r="AN1413" s="1160"/>
      <c r="AO1413" s="1160"/>
      <c r="AP1413" s="1160"/>
      <c r="AQ1413" s="1160"/>
      <c r="AR1413" s="1160"/>
      <c r="AS1413" s="1160"/>
      <c r="AT1413" s="1160"/>
      <c r="AU1413" s="1160"/>
      <c r="AV1413" s="1160"/>
      <c r="AW1413" s="1160"/>
      <c r="AX1413" s="1160"/>
      <c r="AY1413" s="1160"/>
      <c r="AZ1413" s="1160"/>
      <c r="BA1413" s="1160"/>
      <c r="BB1413" s="1160"/>
      <c r="BC1413" s="1160"/>
      <c r="BD1413" s="1160"/>
      <c r="BE1413" s="1160"/>
      <c r="BF1413" s="1160"/>
      <c r="BG1413" s="1160"/>
      <c r="BH1413" s="1160"/>
      <c r="BI1413" s="1160"/>
      <c r="BJ1413" s="1160"/>
      <c r="BK1413" s="1160"/>
      <c r="BL1413" s="1160"/>
      <c r="BM1413" s="1160"/>
      <c r="BN1413" s="1160"/>
      <c r="BO1413" s="1160"/>
      <c r="BP1413" s="1160"/>
      <c r="BQ1413" s="1160"/>
      <c r="BR1413" s="1160"/>
      <c r="BS1413" s="1160"/>
      <c r="BT1413" s="1160"/>
    </row>
    <row r="1414" spans="1:72" s="290" customFormat="1" ht="16.350000000000001" customHeight="1" outlineLevel="2" collapsed="1">
      <c r="A1414" s="1105"/>
      <c r="B1414" s="1203" t="s">
        <v>36</v>
      </c>
      <c r="C1414" s="1194"/>
      <c r="D1414" s="1194"/>
      <c r="E1414" s="1194">
        <v>814863000</v>
      </c>
      <c r="F1414" s="1194">
        <v>860135000</v>
      </c>
      <c r="G1414" s="1194">
        <v>673575000</v>
      </c>
      <c r="H1414" s="1194">
        <v>708180000</v>
      </c>
      <c r="I1414" s="1194">
        <v>444507000</v>
      </c>
      <c r="J1414" s="1194">
        <v>188256000</v>
      </c>
      <c r="K1414" s="1194">
        <v>68256000</v>
      </c>
      <c r="L1414" s="1202"/>
      <c r="M1414" s="1202"/>
      <c r="N1414" s="1202"/>
      <c r="O1414" s="1202"/>
      <c r="P1414" s="1202"/>
      <c r="Q1414" s="1202"/>
      <c r="R1414" s="1110"/>
      <c r="S1414" s="1160"/>
      <c r="T1414" s="1160"/>
      <c r="U1414" s="1160"/>
      <c r="V1414" s="1160"/>
      <c r="W1414" s="1160"/>
      <c r="X1414" s="1160"/>
      <c r="Y1414" s="1160"/>
      <c r="Z1414" s="1160"/>
      <c r="AA1414" s="1160"/>
      <c r="AB1414" s="1160"/>
      <c r="AC1414" s="1160"/>
      <c r="AD1414" s="1160"/>
      <c r="AE1414" s="1160"/>
      <c r="AF1414" s="1160"/>
      <c r="AG1414" s="1160"/>
      <c r="AH1414" s="1160"/>
      <c r="AI1414" s="1160"/>
      <c r="AJ1414" s="1160"/>
      <c r="AK1414" s="1160"/>
      <c r="AL1414" s="1160"/>
      <c r="AM1414" s="1160"/>
      <c r="AN1414" s="1160"/>
      <c r="AO1414" s="1160"/>
      <c r="AP1414" s="1160"/>
      <c r="AQ1414" s="1160"/>
      <c r="AR1414" s="1160"/>
      <c r="AS1414" s="1160"/>
      <c r="AT1414" s="1160"/>
      <c r="AU1414" s="1160"/>
      <c r="AV1414" s="1160"/>
      <c r="AW1414" s="1160"/>
      <c r="AX1414" s="1160"/>
      <c r="AY1414" s="1160"/>
      <c r="AZ1414" s="1160"/>
      <c r="BA1414" s="1160"/>
      <c r="BB1414" s="1160"/>
      <c r="BC1414" s="1160"/>
      <c r="BD1414" s="1160"/>
      <c r="BE1414" s="1160"/>
      <c r="BF1414" s="1160"/>
      <c r="BG1414" s="1160"/>
      <c r="BH1414" s="1160"/>
      <c r="BI1414" s="1160"/>
      <c r="BJ1414" s="1160"/>
      <c r="BK1414" s="1160"/>
      <c r="BL1414" s="1160"/>
      <c r="BM1414" s="1160"/>
      <c r="BN1414" s="1160"/>
      <c r="BO1414" s="1160"/>
      <c r="BP1414" s="1160"/>
      <c r="BQ1414" s="1160"/>
      <c r="BR1414" s="1160"/>
      <c r="BS1414" s="1160"/>
      <c r="BT1414" s="1160"/>
    </row>
    <row r="1415" spans="1:72" s="266" customFormat="1" ht="16.350000000000001" customHeight="1" outlineLevel="1">
      <c r="A1415" s="1105"/>
      <c r="B1415" s="1177" t="s">
        <v>889</v>
      </c>
      <c r="C1415" s="1178"/>
      <c r="D1415" s="1178">
        <v>122670785000</v>
      </c>
      <c r="E1415" s="1178">
        <v>108960418000</v>
      </c>
      <c r="F1415" s="1178">
        <f t="shared" ref="F1415:K1415" si="165">F1364+F1404+F1405+F1406</f>
        <v>93125552000</v>
      </c>
      <c r="G1415" s="1178">
        <f t="shared" si="165"/>
        <v>72409782000</v>
      </c>
      <c r="H1415" s="1179">
        <f t="shared" si="165"/>
        <v>55027843000</v>
      </c>
      <c r="I1415" s="1179">
        <f t="shared" si="165"/>
        <v>45903824000</v>
      </c>
      <c r="J1415" s="1179">
        <f t="shared" si="165"/>
        <v>44405814000</v>
      </c>
      <c r="K1415" s="1179">
        <f t="shared" si="165"/>
        <v>50017635000</v>
      </c>
      <c r="L1415" s="1180"/>
      <c r="M1415" s="1180"/>
      <c r="N1415" s="1180"/>
      <c r="O1415" s="1180"/>
      <c r="P1415" s="1180"/>
      <c r="Q1415" s="1180"/>
      <c r="R1415" s="1110"/>
    </row>
    <row r="1416" spans="1:72" s="1125" customFormat="1" ht="16.350000000000001" customHeight="1" outlineLevel="1">
      <c r="A1416" s="1105"/>
      <c r="B1416" s="1204"/>
      <c r="C1416" s="1117"/>
      <c r="D1416" s="1117"/>
      <c r="E1416" s="1117"/>
      <c r="F1416" s="1117"/>
      <c r="G1416" s="1117"/>
      <c r="H1416" s="1117"/>
      <c r="I1416" s="1117"/>
      <c r="J1416" s="1117"/>
      <c r="K1416" s="1117"/>
      <c r="L1416" s="1205"/>
      <c r="M1416" s="1205"/>
      <c r="N1416" s="1205"/>
      <c r="O1416" s="1205"/>
      <c r="P1416" s="1205"/>
      <c r="Q1416" s="1205"/>
      <c r="R1416" s="1110"/>
      <c r="S1416" s="1124"/>
      <c r="T1416" s="1124"/>
      <c r="U1416" s="1124"/>
      <c r="V1416" s="1124"/>
      <c r="W1416" s="1124"/>
      <c r="X1416" s="1124"/>
      <c r="Y1416" s="1124"/>
      <c r="Z1416" s="1124"/>
      <c r="AA1416" s="1124"/>
      <c r="AB1416" s="1124"/>
      <c r="AC1416" s="1124"/>
      <c r="AD1416" s="1124"/>
      <c r="AE1416" s="1124"/>
      <c r="AF1416" s="1124"/>
      <c r="AG1416" s="1124"/>
      <c r="AH1416" s="1124"/>
      <c r="AI1416" s="1124"/>
      <c r="AJ1416" s="1124"/>
      <c r="AK1416" s="1124"/>
      <c r="AL1416" s="1124"/>
      <c r="AM1416" s="1124"/>
      <c r="AN1416" s="1124"/>
      <c r="AO1416" s="1124"/>
      <c r="AP1416" s="1124"/>
      <c r="AQ1416" s="1124"/>
      <c r="AR1416" s="1124"/>
      <c r="AS1416" s="1124"/>
      <c r="AT1416" s="1124"/>
      <c r="AU1416" s="1124"/>
      <c r="AV1416" s="1124"/>
      <c r="AW1416" s="1124"/>
      <c r="AX1416" s="1124"/>
      <c r="AY1416" s="1124"/>
      <c r="AZ1416" s="1124"/>
      <c r="BA1416" s="1124"/>
      <c r="BB1416" s="1124"/>
      <c r="BC1416" s="1124"/>
      <c r="BD1416" s="1124"/>
      <c r="BE1416" s="1124"/>
      <c r="BF1416" s="1124"/>
      <c r="BG1416" s="1124"/>
      <c r="BH1416" s="1124"/>
      <c r="BI1416" s="1124"/>
      <c r="BJ1416" s="1124"/>
      <c r="BK1416" s="1124"/>
      <c r="BL1416" s="1124"/>
      <c r="BM1416" s="1124"/>
      <c r="BN1416" s="1124"/>
      <c r="BO1416" s="1124"/>
      <c r="BP1416" s="1124"/>
      <c r="BQ1416" s="1124"/>
      <c r="BR1416" s="1124"/>
      <c r="BS1416" s="1124"/>
      <c r="BT1416" s="1124"/>
    </row>
    <row r="1417" spans="1:72" s="419" customFormat="1" ht="16.350000000000001" customHeight="1" outlineLevel="1">
      <c r="A1417" s="1105"/>
      <c r="B1417" s="1116" t="s">
        <v>929</v>
      </c>
      <c r="C1417" s="1117"/>
      <c r="D1417" s="1117"/>
      <c r="E1417" s="1117"/>
      <c r="F1417" s="1117"/>
      <c r="G1417" s="1117"/>
      <c r="H1417" s="1118"/>
      <c r="I1417" s="1118"/>
      <c r="J1417" s="1118"/>
      <c r="K1417" s="1118"/>
      <c r="L1417" s="1118"/>
      <c r="M1417" s="1118"/>
      <c r="N1417" s="1118"/>
      <c r="O1417" s="1118"/>
      <c r="P1417" s="1118"/>
      <c r="Q1417" s="1118"/>
      <c r="R1417" s="1110"/>
      <c r="S1417" s="1120"/>
      <c r="T1417" s="1120"/>
      <c r="U1417" s="1120"/>
      <c r="V1417" s="1120"/>
      <c r="W1417" s="1120"/>
      <c r="X1417" s="1120"/>
      <c r="Y1417" s="1120"/>
      <c r="Z1417" s="1120"/>
      <c r="AA1417" s="1120"/>
      <c r="AB1417" s="1120"/>
      <c r="AC1417" s="1120"/>
      <c r="AD1417" s="1120"/>
      <c r="AE1417" s="1120"/>
      <c r="AF1417" s="1120"/>
      <c r="AG1417" s="1120"/>
      <c r="AH1417" s="1120"/>
      <c r="AI1417" s="1120"/>
      <c r="AJ1417" s="1120"/>
      <c r="AK1417" s="1120"/>
      <c r="AL1417" s="1120"/>
      <c r="AM1417" s="1120"/>
      <c r="AN1417" s="1120"/>
      <c r="AO1417" s="1120"/>
      <c r="AP1417" s="1120"/>
      <c r="AQ1417" s="1120"/>
      <c r="AR1417" s="1120"/>
      <c r="AS1417" s="1120"/>
      <c r="AT1417" s="1120"/>
      <c r="AU1417" s="1120"/>
      <c r="AV1417" s="1120"/>
      <c r="AW1417" s="1120"/>
      <c r="AX1417" s="1120"/>
      <c r="AY1417" s="1120"/>
      <c r="AZ1417" s="1120"/>
      <c r="BA1417" s="1120"/>
      <c r="BB1417" s="1120"/>
      <c r="BC1417" s="1120"/>
      <c r="BD1417" s="1120"/>
      <c r="BE1417" s="1120"/>
      <c r="BF1417" s="1120"/>
      <c r="BG1417" s="1120"/>
    </row>
    <row r="1418" spans="1:72" s="1125" customFormat="1" ht="16.350000000000001" customHeight="1" outlineLevel="1">
      <c r="A1418" s="1105"/>
      <c r="B1418" s="1121" t="s">
        <v>930</v>
      </c>
      <c r="C1418" s="1194"/>
      <c r="D1418" s="1194">
        <v>131173426000</v>
      </c>
      <c r="E1418" s="1194">
        <v>99142151000</v>
      </c>
      <c r="F1418" s="1194">
        <v>83923316000</v>
      </c>
      <c r="G1418" s="1194">
        <f>G1419+G1420+G1421+G1422</f>
        <v>88372216000</v>
      </c>
      <c r="H1418" s="1194">
        <f>H1419+H1420+H1421+H1422</f>
        <v>66794610000</v>
      </c>
      <c r="I1418" s="1194">
        <f>I1419+I1420+I1421+I1422</f>
        <v>48170712000</v>
      </c>
      <c r="J1418" s="1194">
        <f>J1419+J1420+J1421+J1422</f>
        <v>42920567000</v>
      </c>
      <c r="K1418" s="1194">
        <v>33566290000</v>
      </c>
      <c r="L1418" s="1195"/>
      <c r="M1418" s="1195"/>
      <c r="N1418" s="1195"/>
      <c r="O1418" s="1195"/>
      <c r="P1418" s="1195"/>
      <c r="Q1418" s="1195"/>
      <c r="R1418" s="1110"/>
      <c r="S1418" s="1124"/>
      <c r="T1418" s="1124"/>
      <c r="U1418" s="1124"/>
      <c r="V1418" s="1124"/>
      <c r="W1418" s="1124"/>
      <c r="X1418" s="1124"/>
      <c r="Y1418" s="1124"/>
      <c r="Z1418" s="1124"/>
      <c r="AA1418" s="1124"/>
      <c r="AB1418" s="1124"/>
      <c r="AC1418" s="1124"/>
      <c r="AD1418" s="1124"/>
      <c r="AE1418" s="1124"/>
      <c r="AF1418" s="1124"/>
      <c r="AG1418" s="1124"/>
      <c r="AH1418" s="1124"/>
      <c r="AI1418" s="1124"/>
      <c r="AJ1418" s="1124"/>
      <c r="AK1418" s="1124"/>
      <c r="AL1418" s="1124"/>
      <c r="AM1418" s="1124"/>
      <c r="AN1418" s="1124"/>
      <c r="AO1418" s="1124"/>
      <c r="AP1418" s="1124"/>
      <c r="AQ1418" s="1124"/>
      <c r="AR1418" s="1124"/>
      <c r="AS1418" s="1124"/>
      <c r="AT1418" s="1124"/>
      <c r="AU1418" s="1124"/>
      <c r="AV1418" s="1124"/>
      <c r="AW1418" s="1124"/>
      <c r="AX1418" s="1124"/>
      <c r="AY1418" s="1124"/>
      <c r="AZ1418" s="1124"/>
      <c r="BA1418" s="1124"/>
      <c r="BB1418" s="1124"/>
      <c r="BC1418" s="1124"/>
      <c r="BD1418" s="1124"/>
      <c r="BE1418" s="1124"/>
      <c r="BF1418" s="1124"/>
      <c r="BG1418" s="1124"/>
      <c r="BH1418" s="1124"/>
      <c r="BI1418" s="1124"/>
      <c r="BJ1418" s="1124"/>
      <c r="BK1418" s="1124"/>
      <c r="BL1418" s="1124"/>
      <c r="BM1418" s="1124"/>
      <c r="BN1418" s="1124"/>
      <c r="BO1418" s="1124"/>
      <c r="BP1418" s="1124"/>
      <c r="BQ1418" s="1124"/>
      <c r="BR1418" s="1124"/>
      <c r="BS1418" s="1124"/>
      <c r="BT1418" s="1124"/>
    </row>
    <row r="1419" spans="1:72" s="290" customFormat="1" ht="16.350000000000001" customHeight="1" outlineLevel="2" collapsed="1">
      <c r="A1419" s="1105"/>
      <c r="B1419" s="1181" t="s">
        <v>931</v>
      </c>
      <c r="C1419" s="1194"/>
      <c r="D1419" s="1194"/>
      <c r="E1419" s="1194"/>
      <c r="F1419" s="1194">
        <v>81911656000</v>
      </c>
      <c r="G1419" s="1194">
        <v>87176864000</v>
      </c>
      <c r="H1419" s="1194">
        <v>66000189000</v>
      </c>
      <c r="I1419" s="1194">
        <v>47510952000</v>
      </c>
      <c r="J1419" s="1194">
        <v>42316261000</v>
      </c>
      <c r="K1419" s="1194">
        <v>33071535000</v>
      </c>
      <c r="L1419" s="1202"/>
      <c r="M1419" s="1202"/>
      <c r="N1419" s="1202"/>
      <c r="O1419" s="1202"/>
      <c r="P1419" s="1202"/>
      <c r="Q1419" s="1202"/>
      <c r="R1419" s="1110"/>
      <c r="S1419" s="1160"/>
      <c r="T1419" s="1160"/>
      <c r="U1419" s="1160"/>
      <c r="V1419" s="1160"/>
      <c r="W1419" s="1160"/>
      <c r="X1419" s="1160"/>
      <c r="Y1419" s="1160"/>
      <c r="Z1419" s="1160"/>
      <c r="AA1419" s="1160"/>
      <c r="AB1419" s="1160"/>
      <c r="AC1419" s="1160"/>
      <c r="AD1419" s="1160"/>
      <c r="AE1419" s="1160"/>
      <c r="AF1419" s="1160"/>
      <c r="AG1419" s="1160"/>
      <c r="AH1419" s="1160"/>
      <c r="AI1419" s="1160"/>
      <c r="AJ1419" s="1160"/>
      <c r="AK1419" s="1160"/>
      <c r="AL1419" s="1160"/>
      <c r="AM1419" s="1160"/>
      <c r="AN1419" s="1160"/>
      <c r="AO1419" s="1160"/>
      <c r="AP1419" s="1160"/>
      <c r="AQ1419" s="1160"/>
      <c r="AR1419" s="1160"/>
      <c r="AS1419" s="1160"/>
      <c r="AT1419" s="1160"/>
      <c r="AU1419" s="1160"/>
      <c r="AV1419" s="1160"/>
      <c r="AW1419" s="1160"/>
      <c r="AX1419" s="1160"/>
      <c r="AY1419" s="1160"/>
      <c r="AZ1419" s="1160"/>
      <c r="BA1419" s="1160"/>
      <c r="BB1419" s="1160"/>
      <c r="BC1419" s="1160"/>
      <c r="BD1419" s="1160"/>
      <c r="BE1419" s="1160"/>
      <c r="BF1419" s="1160"/>
      <c r="BG1419" s="1160"/>
      <c r="BH1419" s="1160"/>
      <c r="BI1419" s="1160"/>
      <c r="BJ1419" s="1160"/>
      <c r="BK1419" s="1160"/>
      <c r="BL1419" s="1160"/>
      <c r="BM1419" s="1160"/>
      <c r="BN1419" s="1160"/>
      <c r="BO1419" s="1160"/>
      <c r="BP1419" s="1160"/>
      <c r="BQ1419" s="1160"/>
      <c r="BR1419" s="1160"/>
      <c r="BS1419" s="1160"/>
      <c r="BT1419" s="1160"/>
    </row>
    <row r="1420" spans="1:72" s="290" customFormat="1" ht="16.350000000000001" customHeight="1" outlineLevel="2" collapsed="1">
      <c r="A1420" s="1105"/>
      <c r="B1420" s="1181" t="s">
        <v>932</v>
      </c>
      <c r="C1420" s="1194"/>
      <c r="D1420" s="1194"/>
      <c r="E1420" s="1194"/>
      <c r="F1420" s="1194">
        <v>1951684000</v>
      </c>
      <c r="G1420" s="1194">
        <v>956529000</v>
      </c>
      <c r="H1420" s="1194">
        <v>769133000</v>
      </c>
      <c r="I1420" s="1194">
        <v>593587000</v>
      </c>
      <c r="J1420" s="1194">
        <v>473082000</v>
      </c>
      <c r="K1420" s="1194">
        <v>421201000</v>
      </c>
      <c r="L1420" s="1202"/>
      <c r="M1420" s="1202"/>
      <c r="N1420" s="1202"/>
      <c r="O1420" s="1202"/>
      <c r="P1420" s="1202"/>
      <c r="Q1420" s="1202"/>
      <c r="R1420" s="1110"/>
      <c r="S1420" s="1160"/>
      <c r="T1420" s="1160"/>
      <c r="U1420" s="1160"/>
      <c r="V1420" s="1160"/>
      <c r="W1420" s="1160"/>
      <c r="X1420" s="1160"/>
      <c r="Y1420" s="1160"/>
      <c r="Z1420" s="1160"/>
      <c r="AA1420" s="1160"/>
      <c r="AB1420" s="1160"/>
      <c r="AC1420" s="1160"/>
      <c r="AD1420" s="1160"/>
      <c r="AE1420" s="1160"/>
      <c r="AF1420" s="1160"/>
      <c r="AG1420" s="1160"/>
      <c r="AH1420" s="1160"/>
      <c r="AI1420" s="1160"/>
      <c r="AJ1420" s="1160"/>
      <c r="AK1420" s="1160"/>
      <c r="AL1420" s="1160"/>
      <c r="AM1420" s="1160"/>
      <c r="AN1420" s="1160"/>
      <c r="AO1420" s="1160"/>
      <c r="AP1420" s="1160"/>
      <c r="AQ1420" s="1160"/>
      <c r="AR1420" s="1160"/>
      <c r="AS1420" s="1160"/>
      <c r="AT1420" s="1160"/>
      <c r="AU1420" s="1160"/>
      <c r="AV1420" s="1160"/>
      <c r="AW1420" s="1160"/>
      <c r="AX1420" s="1160"/>
      <c r="AY1420" s="1160"/>
      <c r="AZ1420" s="1160"/>
      <c r="BA1420" s="1160"/>
      <c r="BB1420" s="1160"/>
      <c r="BC1420" s="1160"/>
      <c r="BD1420" s="1160"/>
      <c r="BE1420" s="1160"/>
      <c r="BF1420" s="1160"/>
      <c r="BG1420" s="1160"/>
      <c r="BH1420" s="1160"/>
      <c r="BI1420" s="1160"/>
      <c r="BJ1420" s="1160"/>
      <c r="BK1420" s="1160"/>
      <c r="BL1420" s="1160"/>
      <c r="BM1420" s="1160"/>
      <c r="BN1420" s="1160"/>
      <c r="BO1420" s="1160"/>
      <c r="BP1420" s="1160"/>
      <c r="BQ1420" s="1160"/>
      <c r="BR1420" s="1160"/>
      <c r="BS1420" s="1160"/>
      <c r="BT1420" s="1160"/>
    </row>
    <row r="1421" spans="1:72" s="290" customFormat="1" ht="16.350000000000001" customHeight="1" outlineLevel="2" collapsed="1">
      <c r="A1421" s="1105"/>
      <c r="B1421" s="1181" t="s">
        <v>933</v>
      </c>
      <c r="C1421" s="1194"/>
      <c r="D1421" s="1194"/>
      <c r="E1421" s="1194"/>
      <c r="F1421" s="1194">
        <v>21017000</v>
      </c>
      <c r="G1421" s="1194">
        <v>178809000</v>
      </c>
      <c r="H1421" s="1194">
        <v>24512000</v>
      </c>
      <c r="I1421" s="1194">
        <v>24851000</v>
      </c>
      <c r="J1421" s="1194">
        <v>130372000</v>
      </c>
      <c r="K1421" s="1194">
        <v>73309000</v>
      </c>
      <c r="L1421" s="1202"/>
      <c r="M1421" s="1202"/>
      <c r="N1421" s="1202"/>
      <c r="O1421" s="1202"/>
      <c r="P1421" s="1202"/>
      <c r="Q1421" s="1202"/>
      <c r="R1421" s="1110"/>
      <c r="S1421" s="1160"/>
      <c r="T1421" s="1160"/>
      <c r="U1421" s="1160"/>
      <c r="V1421" s="1160"/>
      <c r="W1421" s="1160"/>
      <c r="X1421" s="1160"/>
      <c r="Y1421" s="1160"/>
      <c r="Z1421" s="1160"/>
      <c r="AA1421" s="1160"/>
      <c r="AB1421" s="1160"/>
      <c r="AC1421" s="1160"/>
      <c r="AD1421" s="1160"/>
      <c r="AE1421" s="1160"/>
      <c r="AF1421" s="1160"/>
      <c r="AG1421" s="1160"/>
      <c r="AH1421" s="1160"/>
      <c r="AI1421" s="1160"/>
      <c r="AJ1421" s="1160"/>
      <c r="AK1421" s="1160"/>
      <c r="AL1421" s="1160"/>
      <c r="AM1421" s="1160"/>
      <c r="AN1421" s="1160"/>
      <c r="AO1421" s="1160"/>
      <c r="AP1421" s="1160"/>
      <c r="AQ1421" s="1160"/>
      <c r="AR1421" s="1160"/>
      <c r="AS1421" s="1160"/>
      <c r="AT1421" s="1160"/>
      <c r="AU1421" s="1160"/>
      <c r="AV1421" s="1160"/>
      <c r="AW1421" s="1160"/>
      <c r="AX1421" s="1160"/>
      <c r="AY1421" s="1160"/>
      <c r="AZ1421" s="1160"/>
      <c r="BA1421" s="1160"/>
      <c r="BB1421" s="1160"/>
      <c r="BC1421" s="1160"/>
      <c r="BD1421" s="1160"/>
      <c r="BE1421" s="1160"/>
      <c r="BF1421" s="1160"/>
      <c r="BG1421" s="1160"/>
      <c r="BH1421" s="1160"/>
      <c r="BI1421" s="1160"/>
      <c r="BJ1421" s="1160"/>
      <c r="BK1421" s="1160"/>
      <c r="BL1421" s="1160"/>
      <c r="BM1421" s="1160"/>
      <c r="BN1421" s="1160"/>
      <c r="BO1421" s="1160"/>
      <c r="BP1421" s="1160"/>
      <c r="BQ1421" s="1160"/>
      <c r="BR1421" s="1160"/>
      <c r="BS1421" s="1160"/>
      <c r="BT1421" s="1160"/>
    </row>
    <row r="1422" spans="1:72" s="290" customFormat="1" ht="16.350000000000001" customHeight="1" outlineLevel="2" collapsed="1">
      <c r="A1422" s="1105"/>
      <c r="B1422" s="1181" t="s">
        <v>934</v>
      </c>
      <c r="C1422" s="1194"/>
      <c r="D1422" s="1194"/>
      <c r="E1422" s="1194"/>
      <c r="F1422" s="1194">
        <v>38959000</v>
      </c>
      <c r="G1422" s="1194">
        <v>60014000</v>
      </c>
      <c r="H1422" s="1194">
        <v>776000</v>
      </c>
      <c r="I1422" s="1194">
        <v>41322000</v>
      </c>
      <c r="J1422" s="1194">
        <v>852000</v>
      </c>
      <c r="K1422" s="1194">
        <v>245000</v>
      </c>
      <c r="L1422" s="1202"/>
      <c r="M1422" s="1202"/>
      <c r="N1422" s="1202"/>
      <c r="O1422" s="1202"/>
      <c r="P1422" s="1202"/>
      <c r="Q1422" s="1202"/>
      <c r="R1422" s="1110"/>
      <c r="S1422" s="1160"/>
      <c r="T1422" s="1160"/>
      <c r="U1422" s="1160"/>
      <c r="V1422" s="1160"/>
      <c r="W1422" s="1160"/>
      <c r="X1422" s="1160"/>
      <c r="Y1422" s="1160"/>
      <c r="Z1422" s="1160"/>
      <c r="AA1422" s="1160"/>
      <c r="AB1422" s="1160"/>
      <c r="AC1422" s="1160"/>
      <c r="AD1422" s="1160"/>
      <c r="AE1422" s="1160"/>
      <c r="AF1422" s="1160"/>
      <c r="AG1422" s="1160"/>
      <c r="AH1422" s="1160"/>
      <c r="AI1422" s="1160"/>
      <c r="AJ1422" s="1160"/>
      <c r="AK1422" s="1160"/>
      <c r="AL1422" s="1160"/>
      <c r="AM1422" s="1160"/>
      <c r="AN1422" s="1160"/>
      <c r="AO1422" s="1160"/>
      <c r="AP1422" s="1160"/>
      <c r="AQ1422" s="1160"/>
      <c r="AR1422" s="1160"/>
      <c r="AS1422" s="1160"/>
      <c r="AT1422" s="1160"/>
      <c r="AU1422" s="1160"/>
      <c r="AV1422" s="1160"/>
      <c r="AW1422" s="1160"/>
      <c r="AX1422" s="1160"/>
      <c r="AY1422" s="1160"/>
      <c r="AZ1422" s="1160"/>
      <c r="BA1422" s="1160"/>
      <c r="BB1422" s="1160"/>
      <c r="BC1422" s="1160"/>
      <c r="BD1422" s="1160"/>
      <c r="BE1422" s="1160"/>
      <c r="BF1422" s="1160"/>
      <c r="BG1422" s="1160"/>
      <c r="BH1422" s="1160"/>
      <c r="BI1422" s="1160"/>
      <c r="BJ1422" s="1160"/>
      <c r="BK1422" s="1160"/>
      <c r="BL1422" s="1160"/>
      <c r="BM1422" s="1160"/>
      <c r="BN1422" s="1160"/>
      <c r="BO1422" s="1160"/>
      <c r="BP1422" s="1160"/>
      <c r="BQ1422" s="1160"/>
      <c r="BR1422" s="1160"/>
      <c r="BS1422" s="1160"/>
      <c r="BT1422" s="1160"/>
    </row>
    <row r="1423" spans="1:72" s="1125" customFormat="1" ht="16.350000000000001" customHeight="1" outlineLevel="1">
      <c r="A1423" s="1105"/>
      <c r="B1423" s="1121" t="s">
        <v>926</v>
      </c>
      <c r="C1423" s="1194"/>
      <c r="D1423" s="1194">
        <v>13006035000</v>
      </c>
      <c r="E1423" s="1194">
        <v>11574953000</v>
      </c>
      <c r="F1423" s="1194">
        <v>10648286000</v>
      </c>
      <c r="G1423" s="1194">
        <f>G1424+G1425</f>
        <v>9674307000</v>
      </c>
      <c r="H1423" s="1194">
        <f>H1424+H1425</f>
        <v>8184585000</v>
      </c>
      <c r="I1423" s="1194">
        <f>I1424+I1425</f>
        <v>6612351000</v>
      </c>
      <c r="J1423" s="1194">
        <f>J1424+J1425</f>
        <v>5021456000</v>
      </c>
      <c r="K1423" s="1194">
        <f>K1424+K1425</f>
        <v>3946344000</v>
      </c>
      <c r="L1423" s="1195"/>
      <c r="M1423" s="1195"/>
      <c r="N1423" s="1195"/>
      <c r="O1423" s="1195"/>
      <c r="P1423" s="1195"/>
      <c r="Q1423" s="1195"/>
      <c r="R1423" s="1110"/>
      <c r="S1423" s="1124"/>
      <c r="T1423" s="1124"/>
      <c r="U1423" s="1124"/>
      <c r="V1423" s="1124"/>
      <c r="W1423" s="1124"/>
      <c r="X1423" s="1124"/>
      <c r="Y1423" s="1124"/>
      <c r="Z1423" s="1124"/>
      <c r="AA1423" s="1124"/>
      <c r="AB1423" s="1124"/>
      <c r="AC1423" s="1124"/>
      <c r="AD1423" s="1124"/>
      <c r="AE1423" s="1124"/>
      <c r="AF1423" s="1124"/>
      <c r="AG1423" s="1124"/>
      <c r="AH1423" s="1124"/>
      <c r="AI1423" s="1124"/>
      <c r="AJ1423" s="1124"/>
      <c r="AK1423" s="1124"/>
      <c r="AL1423" s="1124"/>
      <c r="AM1423" s="1124"/>
      <c r="AN1423" s="1124"/>
      <c r="AO1423" s="1124"/>
      <c r="AP1423" s="1124"/>
      <c r="AQ1423" s="1124"/>
      <c r="AR1423" s="1124"/>
      <c r="AS1423" s="1124"/>
      <c r="AT1423" s="1124"/>
      <c r="AU1423" s="1124"/>
      <c r="AV1423" s="1124"/>
      <c r="AW1423" s="1124"/>
      <c r="AX1423" s="1124"/>
      <c r="AY1423" s="1124"/>
      <c r="AZ1423" s="1124"/>
      <c r="BA1423" s="1124"/>
      <c r="BB1423" s="1124"/>
      <c r="BC1423" s="1124"/>
      <c r="BD1423" s="1124"/>
      <c r="BE1423" s="1124"/>
      <c r="BF1423" s="1124"/>
      <c r="BG1423" s="1124"/>
      <c r="BH1423" s="1124"/>
      <c r="BI1423" s="1124"/>
      <c r="BJ1423" s="1124"/>
      <c r="BK1423" s="1124"/>
      <c r="BL1423" s="1124"/>
      <c r="BM1423" s="1124"/>
      <c r="BN1423" s="1124"/>
      <c r="BO1423" s="1124"/>
      <c r="BP1423" s="1124"/>
      <c r="BQ1423" s="1124"/>
      <c r="BR1423" s="1124"/>
      <c r="BS1423" s="1124"/>
      <c r="BT1423" s="1124"/>
    </row>
    <row r="1424" spans="1:72" s="290" customFormat="1" ht="16.350000000000001" customHeight="1" outlineLevel="2" collapsed="1">
      <c r="A1424" s="1105"/>
      <c r="B1424" s="1181" t="s">
        <v>935</v>
      </c>
      <c r="C1424" s="1194"/>
      <c r="D1424" s="1194"/>
      <c r="E1424" s="1194"/>
      <c r="F1424" s="1194">
        <v>6739280000</v>
      </c>
      <c r="G1424" s="1194">
        <v>5815793000</v>
      </c>
      <c r="H1424" s="1194">
        <v>5107205000</v>
      </c>
      <c r="I1424" s="1194">
        <v>4203099000</v>
      </c>
      <c r="J1424" s="1194">
        <v>3177888000</v>
      </c>
      <c r="K1424" s="1194">
        <v>2487406000</v>
      </c>
      <c r="L1424" s="1202"/>
      <c r="M1424" s="1202"/>
      <c r="N1424" s="1202"/>
      <c r="O1424" s="1202"/>
      <c r="P1424" s="1202"/>
      <c r="Q1424" s="1202"/>
      <c r="R1424" s="1110"/>
      <c r="S1424" s="1160"/>
      <c r="T1424" s="1160"/>
      <c r="U1424" s="1160"/>
      <c r="V1424" s="1160"/>
      <c r="W1424" s="1160"/>
      <c r="X1424" s="1160"/>
      <c r="Y1424" s="1160"/>
      <c r="Z1424" s="1160"/>
      <c r="AA1424" s="1160"/>
      <c r="AB1424" s="1160"/>
      <c r="AC1424" s="1160"/>
      <c r="AD1424" s="1160"/>
      <c r="AE1424" s="1160"/>
      <c r="AF1424" s="1160"/>
      <c r="AG1424" s="1160"/>
      <c r="AH1424" s="1160"/>
      <c r="AI1424" s="1160"/>
      <c r="AJ1424" s="1160"/>
      <c r="AK1424" s="1160"/>
      <c r="AL1424" s="1160"/>
      <c r="AM1424" s="1160"/>
      <c r="AN1424" s="1160"/>
      <c r="AO1424" s="1160"/>
      <c r="AP1424" s="1160"/>
      <c r="AQ1424" s="1160"/>
      <c r="AR1424" s="1160"/>
      <c r="AS1424" s="1160"/>
      <c r="AT1424" s="1160"/>
      <c r="AU1424" s="1160"/>
      <c r="AV1424" s="1160"/>
      <c r="AW1424" s="1160"/>
      <c r="AX1424" s="1160"/>
      <c r="AY1424" s="1160"/>
      <c r="AZ1424" s="1160"/>
      <c r="BA1424" s="1160"/>
      <c r="BB1424" s="1160"/>
      <c r="BC1424" s="1160"/>
      <c r="BD1424" s="1160"/>
      <c r="BE1424" s="1160"/>
      <c r="BF1424" s="1160"/>
      <c r="BG1424" s="1160"/>
      <c r="BH1424" s="1160"/>
      <c r="BI1424" s="1160"/>
      <c r="BJ1424" s="1160"/>
      <c r="BK1424" s="1160"/>
      <c r="BL1424" s="1160"/>
      <c r="BM1424" s="1160"/>
      <c r="BN1424" s="1160"/>
      <c r="BO1424" s="1160"/>
      <c r="BP1424" s="1160"/>
      <c r="BQ1424" s="1160"/>
      <c r="BR1424" s="1160"/>
      <c r="BS1424" s="1160"/>
      <c r="BT1424" s="1160"/>
    </row>
    <row r="1425" spans="1:72" s="290" customFormat="1" ht="16.350000000000001" customHeight="1" outlineLevel="2" collapsed="1">
      <c r="A1425" s="1105"/>
      <c r="B1425" s="1181" t="s">
        <v>936</v>
      </c>
      <c r="C1425" s="1194"/>
      <c r="D1425" s="1194"/>
      <c r="E1425" s="1194"/>
      <c r="F1425" s="1194">
        <v>3909006000</v>
      </c>
      <c r="G1425" s="1194">
        <v>3858514000</v>
      </c>
      <c r="H1425" s="1194">
        <v>3077380000</v>
      </c>
      <c r="I1425" s="1194">
        <v>2409252000</v>
      </c>
      <c r="J1425" s="1194">
        <v>1843568000</v>
      </c>
      <c r="K1425" s="1194">
        <v>1458938000</v>
      </c>
      <c r="L1425" s="1202"/>
      <c r="M1425" s="1202"/>
      <c r="N1425" s="1202"/>
      <c r="O1425" s="1202"/>
      <c r="P1425" s="1202"/>
      <c r="Q1425" s="1202"/>
      <c r="R1425" s="1110"/>
      <c r="S1425" s="1160"/>
      <c r="T1425" s="1160"/>
      <c r="U1425" s="1160"/>
      <c r="V1425" s="1160"/>
      <c r="W1425" s="1160"/>
      <c r="X1425" s="1160"/>
      <c r="Y1425" s="1160"/>
      <c r="Z1425" s="1160"/>
      <c r="AA1425" s="1160"/>
      <c r="AB1425" s="1160"/>
      <c r="AC1425" s="1160"/>
      <c r="AD1425" s="1160"/>
      <c r="AE1425" s="1160"/>
      <c r="AF1425" s="1160"/>
      <c r="AG1425" s="1160"/>
      <c r="AH1425" s="1160"/>
      <c r="AI1425" s="1160"/>
      <c r="AJ1425" s="1160"/>
      <c r="AK1425" s="1160"/>
      <c r="AL1425" s="1160"/>
      <c r="AM1425" s="1160"/>
      <c r="AN1425" s="1160"/>
      <c r="AO1425" s="1160"/>
      <c r="AP1425" s="1160"/>
      <c r="AQ1425" s="1160"/>
      <c r="AR1425" s="1160"/>
      <c r="AS1425" s="1160"/>
      <c r="AT1425" s="1160"/>
      <c r="AU1425" s="1160"/>
      <c r="AV1425" s="1160"/>
      <c r="AW1425" s="1160"/>
      <c r="AX1425" s="1160"/>
      <c r="AY1425" s="1160"/>
      <c r="AZ1425" s="1160"/>
      <c r="BA1425" s="1160"/>
      <c r="BB1425" s="1160"/>
      <c r="BC1425" s="1160"/>
      <c r="BD1425" s="1160"/>
      <c r="BE1425" s="1160"/>
      <c r="BF1425" s="1160"/>
      <c r="BG1425" s="1160"/>
      <c r="BH1425" s="1160"/>
      <c r="BI1425" s="1160"/>
      <c r="BJ1425" s="1160"/>
      <c r="BK1425" s="1160"/>
      <c r="BL1425" s="1160"/>
      <c r="BM1425" s="1160"/>
      <c r="BN1425" s="1160"/>
      <c r="BO1425" s="1160"/>
      <c r="BP1425" s="1160"/>
      <c r="BQ1425" s="1160"/>
      <c r="BR1425" s="1160"/>
      <c r="BS1425" s="1160"/>
      <c r="BT1425" s="1160"/>
    </row>
    <row r="1426" spans="1:72" s="1125" customFormat="1" ht="16.350000000000001" customHeight="1" outlineLevel="1">
      <c r="A1426" s="1105"/>
      <c r="B1426" s="1121" t="s">
        <v>937</v>
      </c>
      <c r="C1426" s="1194"/>
      <c r="D1426" s="1194">
        <v>4791836000</v>
      </c>
      <c r="E1426" s="1194">
        <v>6283720000</v>
      </c>
      <c r="F1426" s="1194">
        <v>8810963000</v>
      </c>
      <c r="G1426" s="1194">
        <f>G1427+G1428+G1429+G1430+G1431</f>
        <v>5926672000</v>
      </c>
      <c r="H1426" s="1194">
        <f>H1427+H1428+H1429+H1430+H1431</f>
        <v>5386312000</v>
      </c>
      <c r="I1426" s="1194">
        <f>I1427+I1428+I1429+I1430+I1431</f>
        <v>4628748000</v>
      </c>
      <c r="J1426" s="1194">
        <f>J1427+J1428+J1429+J1430+J1431</f>
        <v>3730845000</v>
      </c>
      <c r="K1426" s="1194">
        <f>K1427+K1428+K1429+K1430+K1431</f>
        <v>2467267000</v>
      </c>
      <c r="L1426" s="1195"/>
      <c r="M1426" s="1195"/>
      <c r="N1426" s="1195"/>
      <c r="O1426" s="1195"/>
      <c r="P1426" s="1195"/>
      <c r="Q1426" s="1195"/>
      <c r="R1426" s="1110"/>
      <c r="S1426" s="1124"/>
      <c r="T1426" s="1124"/>
      <c r="U1426" s="1124"/>
      <c r="V1426" s="1124"/>
      <c r="W1426" s="1124"/>
      <c r="X1426" s="1124"/>
      <c r="Y1426" s="1124"/>
      <c r="Z1426" s="1124"/>
      <c r="AA1426" s="1124"/>
      <c r="AB1426" s="1124"/>
      <c r="AC1426" s="1124"/>
      <c r="AD1426" s="1124"/>
      <c r="AE1426" s="1124"/>
      <c r="AF1426" s="1124"/>
      <c r="AG1426" s="1124"/>
      <c r="AH1426" s="1124"/>
      <c r="AI1426" s="1124"/>
      <c r="AJ1426" s="1124"/>
      <c r="AK1426" s="1124"/>
      <c r="AL1426" s="1124"/>
      <c r="AM1426" s="1124"/>
      <c r="AN1426" s="1124"/>
      <c r="AO1426" s="1124"/>
      <c r="AP1426" s="1124"/>
      <c r="AQ1426" s="1124"/>
      <c r="AR1426" s="1124"/>
      <c r="AS1426" s="1124"/>
      <c r="AT1426" s="1124"/>
      <c r="AU1426" s="1124"/>
      <c r="AV1426" s="1124"/>
      <c r="AW1426" s="1124"/>
      <c r="AX1426" s="1124"/>
      <c r="AY1426" s="1124"/>
      <c r="AZ1426" s="1124"/>
      <c r="BA1426" s="1124"/>
      <c r="BB1426" s="1124"/>
      <c r="BC1426" s="1124"/>
      <c r="BD1426" s="1124"/>
      <c r="BE1426" s="1124"/>
      <c r="BF1426" s="1124"/>
      <c r="BG1426" s="1124"/>
      <c r="BH1426" s="1124"/>
      <c r="BI1426" s="1124"/>
      <c r="BJ1426" s="1124"/>
      <c r="BK1426" s="1124"/>
      <c r="BL1426" s="1124"/>
      <c r="BM1426" s="1124"/>
      <c r="BN1426" s="1124"/>
      <c r="BO1426" s="1124"/>
      <c r="BP1426" s="1124"/>
      <c r="BQ1426" s="1124"/>
      <c r="BR1426" s="1124"/>
      <c r="BS1426" s="1124"/>
      <c r="BT1426" s="1124"/>
    </row>
    <row r="1427" spans="1:72" s="290" customFormat="1" ht="16.350000000000001" customHeight="1" outlineLevel="2" collapsed="1">
      <c r="A1427" s="1105"/>
      <c r="B1427" s="1181" t="s">
        <v>938</v>
      </c>
      <c r="C1427" s="1194"/>
      <c r="D1427" s="1194"/>
      <c r="E1427" s="1194"/>
      <c r="F1427" s="1194">
        <v>4863805000</v>
      </c>
      <c r="G1427" s="1194">
        <v>2188991000</v>
      </c>
      <c r="H1427" s="1194">
        <v>2131967000</v>
      </c>
      <c r="I1427" s="1194">
        <v>1802748000</v>
      </c>
      <c r="J1427" s="1194">
        <v>1508040000</v>
      </c>
      <c r="K1427" s="1194">
        <v>778595000</v>
      </c>
      <c r="L1427" s="1202"/>
      <c r="M1427" s="1202"/>
      <c r="N1427" s="1202"/>
      <c r="O1427" s="1202"/>
      <c r="P1427" s="1202"/>
      <c r="Q1427" s="1202"/>
      <c r="R1427" s="1110"/>
      <c r="S1427" s="1160"/>
      <c r="T1427" s="1160"/>
      <c r="U1427" s="1160"/>
      <c r="V1427" s="1160"/>
      <c r="W1427" s="1160"/>
      <c r="X1427" s="1160"/>
      <c r="Y1427" s="1160"/>
      <c r="Z1427" s="1160"/>
      <c r="AA1427" s="1160"/>
      <c r="AB1427" s="1160"/>
      <c r="AC1427" s="1160"/>
      <c r="AD1427" s="1160"/>
      <c r="AE1427" s="1160"/>
      <c r="AF1427" s="1160"/>
      <c r="AG1427" s="1160"/>
      <c r="AH1427" s="1160"/>
      <c r="AI1427" s="1160"/>
      <c r="AJ1427" s="1160"/>
      <c r="AK1427" s="1160"/>
      <c r="AL1427" s="1160"/>
      <c r="AM1427" s="1160"/>
      <c r="AN1427" s="1160"/>
      <c r="AO1427" s="1160"/>
      <c r="AP1427" s="1160"/>
      <c r="AQ1427" s="1160"/>
      <c r="AR1427" s="1160"/>
      <c r="AS1427" s="1160"/>
      <c r="AT1427" s="1160"/>
      <c r="AU1427" s="1160"/>
      <c r="AV1427" s="1160"/>
      <c r="AW1427" s="1160"/>
      <c r="AX1427" s="1160"/>
      <c r="AY1427" s="1160"/>
      <c r="AZ1427" s="1160"/>
      <c r="BA1427" s="1160"/>
      <c r="BB1427" s="1160"/>
      <c r="BC1427" s="1160"/>
      <c r="BD1427" s="1160"/>
      <c r="BE1427" s="1160"/>
      <c r="BF1427" s="1160"/>
      <c r="BG1427" s="1160"/>
      <c r="BH1427" s="1160"/>
      <c r="BI1427" s="1160"/>
      <c r="BJ1427" s="1160"/>
      <c r="BK1427" s="1160"/>
      <c r="BL1427" s="1160"/>
      <c r="BM1427" s="1160"/>
      <c r="BN1427" s="1160"/>
      <c r="BO1427" s="1160"/>
      <c r="BP1427" s="1160"/>
      <c r="BQ1427" s="1160"/>
      <c r="BR1427" s="1160"/>
      <c r="BS1427" s="1160"/>
      <c r="BT1427" s="1160"/>
    </row>
    <row r="1428" spans="1:72" s="290" customFormat="1" ht="16.350000000000001" customHeight="1" outlineLevel="2" collapsed="1">
      <c r="A1428" s="1105"/>
      <c r="B1428" s="1181" t="s">
        <v>939</v>
      </c>
      <c r="C1428" s="1194"/>
      <c r="D1428" s="1194"/>
      <c r="E1428" s="1194"/>
      <c r="F1428" s="1194">
        <v>2133279000</v>
      </c>
      <c r="G1428" s="1194">
        <v>2025611000</v>
      </c>
      <c r="H1428" s="1194">
        <v>1730456000</v>
      </c>
      <c r="I1428" s="1194">
        <v>1452413000</v>
      </c>
      <c r="J1428" s="1194">
        <v>1080612000</v>
      </c>
      <c r="K1428" s="1194">
        <v>800696000</v>
      </c>
      <c r="L1428" s="1202"/>
      <c r="M1428" s="1202"/>
      <c r="N1428" s="1202"/>
      <c r="O1428" s="1202"/>
      <c r="P1428" s="1202"/>
      <c r="Q1428" s="1202"/>
      <c r="R1428" s="1110"/>
      <c r="S1428" s="1160"/>
      <c r="T1428" s="1160"/>
      <c r="U1428" s="1160"/>
      <c r="V1428" s="1160"/>
      <c r="W1428" s="1160"/>
      <c r="X1428" s="1160"/>
      <c r="Y1428" s="1160"/>
      <c r="Z1428" s="1160"/>
      <c r="AA1428" s="1160"/>
      <c r="AB1428" s="1160"/>
      <c r="AC1428" s="1160"/>
      <c r="AD1428" s="1160"/>
      <c r="AE1428" s="1160"/>
      <c r="AF1428" s="1160"/>
      <c r="AG1428" s="1160"/>
      <c r="AH1428" s="1160"/>
      <c r="AI1428" s="1160"/>
      <c r="AJ1428" s="1160"/>
      <c r="AK1428" s="1160"/>
      <c r="AL1428" s="1160"/>
      <c r="AM1428" s="1160"/>
      <c r="AN1428" s="1160"/>
      <c r="AO1428" s="1160"/>
      <c r="AP1428" s="1160"/>
      <c r="AQ1428" s="1160"/>
      <c r="AR1428" s="1160"/>
      <c r="AS1428" s="1160"/>
      <c r="AT1428" s="1160"/>
      <c r="AU1428" s="1160"/>
      <c r="AV1428" s="1160"/>
      <c r="AW1428" s="1160"/>
      <c r="AX1428" s="1160"/>
      <c r="AY1428" s="1160"/>
      <c r="AZ1428" s="1160"/>
      <c r="BA1428" s="1160"/>
      <c r="BB1428" s="1160"/>
      <c r="BC1428" s="1160"/>
      <c r="BD1428" s="1160"/>
      <c r="BE1428" s="1160"/>
      <c r="BF1428" s="1160"/>
      <c r="BG1428" s="1160"/>
      <c r="BH1428" s="1160"/>
      <c r="BI1428" s="1160"/>
      <c r="BJ1428" s="1160"/>
      <c r="BK1428" s="1160"/>
      <c r="BL1428" s="1160"/>
      <c r="BM1428" s="1160"/>
      <c r="BN1428" s="1160"/>
      <c r="BO1428" s="1160"/>
      <c r="BP1428" s="1160"/>
      <c r="BQ1428" s="1160"/>
      <c r="BR1428" s="1160"/>
      <c r="BS1428" s="1160"/>
      <c r="BT1428" s="1160"/>
    </row>
    <row r="1429" spans="1:72" s="290" customFormat="1" ht="16.350000000000001" customHeight="1" outlineLevel="2" collapsed="1">
      <c r="A1429" s="1105"/>
      <c r="B1429" s="1181" t="s">
        <v>940</v>
      </c>
      <c r="C1429" s="1194"/>
      <c r="D1429" s="1194"/>
      <c r="E1429" s="1194"/>
      <c r="F1429" s="1194">
        <v>1032074000</v>
      </c>
      <c r="G1429" s="1194">
        <v>901964000</v>
      </c>
      <c r="H1429" s="1194">
        <v>797902000</v>
      </c>
      <c r="I1429" s="1194">
        <v>633841000</v>
      </c>
      <c r="J1429" s="1194">
        <v>490711000</v>
      </c>
      <c r="K1429" s="1194">
        <v>384533000</v>
      </c>
      <c r="L1429" s="1202"/>
      <c r="M1429" s="1202"/>
      <c r="N1429" s="1202"/>
      <c r="O1429" s="1202"/>
      <c r="P1429" s="1202"/>
      <c r="Q1429" s="1202"/>
      <c r="R1429" s="1110"/>
      <c r="S1429" s="1160"/>
      <c r="T1429" s="1160"/>
      <c r="U1429" s="1160"/>
      <c r="V1429" s="1160"/>
      <c r="W1429" s="1160"/>
      <c r="X1429" s="1160"/>
      <c r="Y1429" s="1160"/>
      <c r="Z1429" s="1160"/>
      <c r="AA1429" s="1160"/>
      <c r="AB1429" s="1160"/>
      <c r="AC1429" s="1160"/>
      <c r="AD1429" s="1160"/>
      <c r="AE1429" s="1160"/>
      <c r="AF1429" s="1160"/>
      <c r="AG1429" s="1160"/>
      <c r="AH1429" s="1160"/>
      <c r="AI1429" s="1160"/>
      <c r="AJ1429" s="1160"/>
      <c r="AK1429" s="1160"/>
      <c r="AL1429" s="1160"/>
      <c r="AM1429" s="1160"/>
      <c r="AN1429" s="1160"/>
      <c r="AO1429" s="1160"/>
      <c r="AP1429" s="1160"/>
      <c r="AQ1429" s="1160"/>
      <c r="AR1429" s="1160"/>
      <c r="AS1429" s="1160"/>
      <c r="AT1429" s="1160"/>
      <c r="AU1429" s="1160"/>
      <c r="AV1429" s="1160"/>
      <c r="AW1429" s="1160"/>
      <c r="AX1429" s="1160"/>
      <c r="AY1429" s="1160"/>
      <c r="AZ1429" s="1160"/>
      <c r="BA1429" s="1160"/>
      <c r="BB1429" s="1160"/>
      <c r="BC1429" s="1160"/>
      <c r="BD1429" s="1160"/>
      <c r="BE1429" s="1160"/>
      <c r="BF1429" s="1160"/>
      <c r="BG1429" s="1160"/>
      <c r="BH1429" s="1160"/>
      <c r="BI1429" s="1160"/>
      <c r="BJ1429" s="1160"/>
      <c r="BK1429" s="1160"/>
      <c r="BL1429" s="1160"/>
      <c r="BM1429" s="1160"/>
      <c r="BN1429" s="1160"/>
      <c r="BO1429" s="1160"/>
      <c r="BP1429" s="1160"/>
      <c r="BQ1429" s="1160"/>
      <c r="BR1429" s="1160"/>
      <c r="BS1429" s="1160"/>
      <c r="BT1429" s="1160"/>
    </row>
    <row r="1430" spans="1:72" s="290" customFormat="1" ht="16.350000000000001" customHeight="1" outlineLevel="2" collapsed="1">
      <c r="A1430" s="1105"/>
      <c r="B1430" s="1181" t="s">
        <v>941</v>
      </c>
      <c r="C1430" s="1194"/>
      <c r="D1430" s="1194"/>
      <c r="E1430" s="1194"/>
      <c r="F1430" s="1194">
        <v>737309000</v>
      </c>
      <c r="G1430" s="1194">
        <v>729312000</v>
      </c>
      <c r="H1430" s="1194">
        <v>651736000</v>
      </c>
      <c r="I1430" s="1194">
        <v>684599000</v>
      </c>
      <c r="J1430" s="1194">
        <v>608566000</v>
      </c>
      <c r="K1430" s="1194">
        <v>473425000</v>
      </c>
      <c r="L1430" s="1202"/>
      <c r="M1430" s="1202"/>
      <c r="N1430" s="1202"/>
      <c r="O1430" s="1202"/>
      <c r="P1430" s="1202"/>
      <c r="Q1430" s="1202"/>
      <c r="R1430" s="1110"/>
      <c r="S1430" s="1160"/>
      <c r="T1430" s="1160"/>
      <c r="U1430" s="1160"/>
      <c r="V1430" s="1160"/>
      <c r="W1430" s="1160"/>
      <c r="X1430" s="1160"/>
      <c r="Y1430" s="1160"/>
      <c r="Z1430" s="1160"/>
      <c r="AA1430" s="1160"/>
      <c r="AB1430" s="1160"/>
      <c r="AC1430" s="1160"/>
      <c r="AD1430" s="1160"/>
      <c r="AE1430" s="1160"/>
      <c r="AF1430" s="1160"/>
      <c r="AG1430" s="1160"/>
      <c r="AH1430" s="1160"/>
      <c r="AI1430" s="1160"/>
      <c r="AJ1430" s="1160"/>
      <c r="AK1430" s="1160"/>
      <c r="AL1430" s="1160"/>
      <c r="AM1430" s="1160"/>
      <c r="AN1430" s="1160"/>
      <c r="AO1430" s="1160"/>
      <c r="AP1430" s="1160"/>
      <c r="AQ1430" s="1160"/>
      <c r="AR1430" s="1160"/>
      <c r="AS1430" s="1160"/>
      <c r="AT1430" s="1160"/>
      <c r="AU1430" s="1160"/>
      <c r="AV1430" s="1160"/>
      <c r="AW1430" s="1160"/>
      <c r="AX1430" s="1160"/>
      <c r="AY1430" s="1160"/>
      <c r="AZ1430" s="1160"/>
      <c r="BA1430" s="1160"/>
      <c r="BB1430" s="1160"/>
      <c r="BC1430" s="1160"/>
      <c r="BD1430" s="1160"/>
      <c r="BE1430" s="1160"/>
      <c r="BF1430" s="1160"/>
      <c r="BG1430" s="1160"/>
      <c r="BH1430" s="1160"/>
      <c r="BI1430" s="1160"/>
      <c r="BJ1430" s="1160"/>
      <c r="BK1430" s="1160"/>
      <c r="BL1430" s="1160"/>
      <c r="BM1430" s="1160"/>
      <c r="BN1430" s="1160"/>
      <c r="BO1430" s="1160"/>
      <c r="BP1430" s="1160"/>
      <c r="BQ1430" s="1160"/>
      <c r="BR1430" s="1160"/>
      <c r="BS1430" s="1160"/>
      <c r="BT1430" s="1160"/>
    </row>
    <row r="1431" spans="1:72" s="290" customFormat="1" ht="16.350000000000001" customHeight="1" outlineLevel="2" collapsed="1">
      <c r="A1431" s="1105"/>
      <c r="B1431" s="1181" t="s">
        <v>942</v>
      </c>
      <c r="C1431" s="1194"/>
      <c r="D1431" s="1194"/>
      <c r="E1431" s="1194"/>
      <c r="F1431" s="1194">
        <v>44496000</v>
      </c>
      <c r="G1431" s="1194">
        <v>80794000</v>
      </c>
      <c r="H1431" s="1194">
        <v>74251000</v>
      </c>
      <c r="I1431" s="1194">
        <v>55147000</v>
      </c>
      <c r="J1431" s="1194">
        <v>42916000</v>
      </c>
      <c r="K1431" s="1194">
        <v>30018000</v>
      </c>
      <c r="L1431" s="1202"/>
      <c r="M1431" s="1202"/>
      <c r="N1431" s="1202"/>
      <c r="O1431" s="1202"/>
      <c r="P1431" s="1202"/>
      <c r="Q1431" s="1202"/>
      <c r="R1431" s="1110"/>
      <c r="S1431" s="1160"/>
      <c r="T1431" s="1160"/>
      <c r="U1431" s="1160"/>
      <c r="V1431" s="1160"/>
      <c r="W1431" s="1160"/>
      <c r="X1431" s="1160"/>
      <c r="Y1431" s="1160"/>
      <c r="Z1431" s="1160"/>
      <c r="AA1431" s="1160"/>
      <c r="AB1431" s="1160"/>
      <c r="AC1431" s="1160"/>
      <c r="AD1431" s="1160"/>
      <c r="AE1431" s="1160"/>
      <c r="AF1431" s="1160"/>
      <c r="AG1431" s="1160"/>
      <c r="AH1431" s="1160"/>
      <c r="AI1431" s="1160"/>
      <c r="AJ1431" s="1160"/>
      <c r="AK1431" s="1160"/>
      <c r="AL1431" s="1160"/>
      <c r="AM1431" s="1160"/>
      <c r="AN1431" s="1160"/>
      <c r="AO1431" s="1160"/>
      <c r="AP1431" s="1160"/>
      <c r="AQ1431" s="1160"/>
      <c r="AR1431" s="1160"/>
      <c r="AS1431" s="1160"/>
      <c r="AT1431" s="1160"/>
      <c r="AU1431" s="1160"/>
      <c r="AV1431" s="1160"/>
      <c r="AW1431" s="1160"/>
      <c r="AX1431" s="1160"/>
      <c r="AY1431" s="1160"/>
      <c r="AZ1431" s="1160"/>
      <c r="BA1431" s="1160"/>
      <c r="BB1431" s="1160"/>
      <c r="BC1431" s="1160"/>
      <c r="BD1431" s="1160"/>
      <c r="BE1431" s="1160"/>
      <c r="BF1431" s="1160"/>
      <c r="BG1431" s="1160"/>
      <c r="BH1431" s="1160"/>
      <c r="BI1431" s="1160"/>
      <c r="BJ1431" s="1160"/>
      <c r="BK1431" s="1160"/>
      <c r="BL1431" s="1160"/>
      <c r="BM1431" s="1160"/>
      <c r="BN1431" s="1160"/>
      <c r="BO1431" s="1160"/>
      <c r="BP1431" s="1160"/>
      <c r="BQ1431" s="1160"/>
      <c r="BR1431" s="1160"/>
      <c r="BS1431" s="1160"/>
      <c r="BT1431" s="1160"/>
    </row>
    <row r="1432" spans="1:72" s="290" customFormat="1" ht="16.350000000000001" customHeight="1" outlineLevel="1">
      <c r="A1432" s="1105"/>
      <c r="B1432" s="1158" t="s">
        <v>943</v>
      </c>
      <c r="C1432" s="1194"/>
      <c r="D1432" s="1194">
        <v>13629822000</v>
      </c>
      <c r="E1432" s="1194">
        <v>831000</v>
      </c>
      <c r="F1432" s="1194">
        <v>11936866000</v>
      </c>
      <c r="G1432" s="1194">
        <v>16993856000</v>
      </c>
      <c r="H1432" s="1194">
        <v>14372034000</v>
      </c>
      <c r="I1432" s="1194">
        <v>25000</v>
      </c>
      <c r="J1432" s="1194">
        <v>540000</v>
      </c>
      <c r="K1432" s="1194">
        <v>534000</v>
      </c>
      <c r="L1432" s="1202"/>
      <c r="M1432" s="1202"/>
      <c r="N1432" s="1202"/>
      <c r="O1432" s="1202"/>
      <c r="P1432" s="1202"/>
      <c r="Q1432" s="1202"/>
      <c r="R1432" s="1110"/>
      <c r="S1432" s="1160"/>
      <c r="T1432" s="1160"/>
      <c r="U1432" s="1160"/>
      <c r="V1432" s="1160"/>
      <c r="W1432" s="1160"/>
      <c r="X1432" s="1160"/>
      <c r="Y1432" s="1160"/>
      <c r="Z1432" s="1160"/>
      <c r="AA1432" s="1160"/>
      <c r="AB1432" s="1160"/>
      <c r="AC1432" s="1160"/>
      <c r="AD1432" s="1160"/>
      <c r="AE1432" s="1160"/>
      <c r="AF1432" s="1160"/>
      <c r="AG1432" s="1160"/>
      <c r="AH1432" s="1160"/>
      <c r="AI1432" s="1160"/>
      <c r="AJ1432" s="1160"/>
      <c r="AK1432" s="1160"/>
      <c r="AL1432" s="1160"/>
      <c r="AM1432" s="1160"/>
      <c r="AN1432" s="1160"/>
      <c r="AO1432" s="1160"/>
      <c r="AP1432" s="1160"/>
      <c r="AQ1432" s="1160"/>
      <c r="AR1432" s="1160"/>
      <c r="AS1432" s="1160"/>
      <c r="AT1432" s="1160"/>
      <c r="AU1432" s="1160"/>
      <c r="AV1432" s="1160"/>
      <c r="AW1432" s="1160"/>
      <c r="AX1432" s="1160"/>
      <c r="AY1432" s="1160"/>
      <c r="AZ1432" s="1160"/>
      <c r="BA1432" s="1160"/>
      <c r="BB1432" s="1160"/>
      <c r="BC1432" s="1160"/>
      <c r="BD1432" s="1160"/>
      <c r="BE1432" s="1160"/>
      <c r="BF1432" s="1160"/>
      <c r="BG1432" s="1160"/>
      <c r="BH1432" s="1160"/>
      <c r="BI1432" s="1160"/>
      <c r="BJ1432" s="1160"/>
      <c r="BK1432" s="1160"/>
      <c r="BL1432" s="1160"/>
      <c r="BM1432" s="1160"/>
      <c r="BN1432" s="1160"/>
      <c r="BO1432" s="1160"/>
      <c r="BP1432" s="1160"/>
      <c r="BQ1432" s="1160"/>
      <c r="BR1432" s="1160"/>
      <c r="BS1432" s="1160"/>
      <c r="BT1432" s="1160"/>
    </row>
    <row r="1433" spans="1:72" s="290" customFormat="1" ht="16.350000000000001" customHeight="1" outlineLevel="1">
      <c r="A1433" s="1105"/>
      <c r="B1433" s="1158" t="s">
        <v>944</v>
      </c>
      <c r="C1433" s="1194"/>
      <c r="D1433" s="1194"/>
      <c r="E1433" s="1194">
        <v>0</v>
      </c>
      <c r="F1433" s="1194">
        <v>0</v>
      </c>
      <c r="G1433" s="1194">
        <v>670770000</v>
      </c>
      <c r="H1433" s="1194">
        <v>0</v>
      </c>
      <c r="I1433" s="1194">
        <v>295339000</v>
      </c>
      <c r="J1433" s="1194">
        <v>91421000</v>
      </c>
      <c r="K1433" s="1194">
        <v>500608000</v>
      </c>
      <c r="L1433" s="1202"/>
      <c r="M1433" s="1202"/>
      <c r="N1433" s="1202"/>
      <c r="O1433" s="1202"/>
      <c r="P1433" s="1202"/>
      <c r="Q1433" s="1202"/>
      <c r="R1433" s="1110"/>
      <c r="S1433" s="1160"/>
      <c r="T1433" s="1160"/>
      <c r="U1433" s="1160"/>
      <c r="V1433" s="1160"/>
      <c r="W1433" s="1160"/>
      <c r="X1433" s="1160"/>
      <c r="Y1433" s="1160"/>
      <c r="Z1433" s="1160"/>
      <c r="AA1433" s="1160"/>
      <c r="AB1433" s="1160"/>
      <c r="AC1433" s="1160"/>
      <c r="AD1433" s="1160"/>
      <c r="AE1433" s="1160"/>
      <c r="AF1433" s="1160"/>
      <c r="AG1433" s="1160"/>
      <c r="AH1433" s="1160"/>
      <c r="AI1433" s="1160"/>
      <c r="AJ1433" s="1160"/>
      <c r="AK1433" s="1160"/>
      <c r="AL1433" s="1160"/>
      <c r="AM1433" s="1160"/>
      <c r="AN1433" s="1160"/>
      <c r="AO1433" s="1160"/>
      <c r="AP1433" s="1160"/>
      <c r="AQ1433" s="1160"/>
      <c r="AR1433" s="1160"/>
      <c r="AS1433" s="1160"/>
      <c r="AT1433" s="1160"/>
      <c r="AU1433" s="1160"/>
      <c r="AV1433" s="1160"/>
      <c r="AW1433" s="1160"/>
      <c r="AX1433" s="1160"/>
      <c r="AY1433" s="1160"/>
      <c r="AZ1433" s="1160"/>
      <c r="BA1433" s="1160"/>
      <c r="BB1433" s="1160"/>
      <c r="BC1433" s="1160"/>
      <c r="BD1433" s="1160"/>
      <c r="BE1433" s="1160"/>
      <c r="BF1433" s="1160"/>
      <c r="BG1433" s="1160"/>
      <c r="BH1433" s="1160"/>
      <c r="BI1433" s="1160"/>
      <c r="BJ1433" s="1160"/>
      <c r="BK1433" s="1160"/>
      <c r="BL1433" s="1160"/>
      <c r="BM1433" s="1160"/>
      <c r="BN1433" s="1160"/>
      <c r="BO1433" s="1160"/>
      <c r="BP1433" s="1160"/>
      <c r="BQ1433" s="1160"/>
      <c r="BR1433" s="1160"/>
      <c r="BS1433" s="1160"/>
      <c r="BT1433" s="1160"/>
    </row>
    <row r="1434" spans="1:72" s="290" customFormat="1" ht="16.350000000000001" customHeight="1" outlineLevel="1">
      <c r="A1434" s="1105"/>
      <c r="B1434" s="1158" t="s">
        <v>945</v>
      </c>
      <c r="C1434" s="1194"/>
      <c r="D1434" s="1194">
        <v>665285000</v>
      </c>
      <c r="E1434" s="1194">
        <v>562691000</v>
      </c>
      <c r="F1434" s="1194">
        <v>287655000</v>
      </c>
      <c r="G1434" s="1194">
        <v>187655000</v>
      </c>
      <c r="H1434" s="1194">
        <v>87655000</v>
      </c>
      <c r="I1434" s="1194">
        <v>87655000</v>
      </c>
      <c r="J1434" s="1194">
        <v>0</v>
      </c>
      <c r="K1434" s="1194">
        <v>0</v>
      </c>
      <c r="L1434" s="1202"/>
      <c r="M1434" s="1202"/>
      <c r="N1434" s="1202"/>
      <c r="O1434" s="1202"/>
      <c r="P1434" s="1202"/>
      <c r="Q1434" s="1202"/>
      <c r="R1434" s="1110"/>
      <c r="S1434" s="1160"/>
      <c r="T1434" s="1160"/>
      <c r="U1434" s="1160"/>
      <c r="V1434" s="1160"/>
      <c r="W1434" s="1160"/>
      <c r="X1434" s="1160"/>
      <c r="Y1434" s="1160"/>
      <c r="Z1434" s="1160"/>
      <c r="AA1434" s="1160"/>
      <c r="AB1434" s="1160"/>
      <c r="AC1434" s="1160"/>
      <c r="AD1434" s="1160"/>
      <c r="AE1434" s="1160"/>
      <c r="AF1434" s="1160"/>
      <c r="AG1434" s="1160"/>
      <c r="AH1434" s="1160"/>
      <c r="AI1434" s="1160"/>
      <c r="AJ1434" s="1160"/>
      <c r="AK1434" s="1160"/>
      <c r="AL1434" s="1160"/>
      <c r="AM1434" s="1160"/>
      <c r="AN1434" s="1160"/>
      <c r="AO1434" s="1160"/>
      <c r="AP1434" s="1160"/>
      <c r="AQ1434" s="1160"/>
      <c r="AR1434" s="1160"/>
      <c r="AS1434" s="1160"/>
      <c r="AT1434" s="1160"/>
      <c r="AU1434" s="1160"/>
      <c r="AV1434" s="1160"/>
      <c r="AW1434" s="1160"/>
      <c r="AX1434" s="1160"/>
      <c r="AY1434" s="1160"/>
      <c r="AZ1434" s="1160"/>
      <c r="BA1434" s="1160"/>
      <c r="BB1434" s="1160"/>
      <c r="BC1434" s="1160"/>
      <c r="BD1434" s="1160"/>
      <c r="BE1434" s="1160"/>
      <c r="BF1434" s="1160"/>
      <c r="BG1434" s="1160"/>
      <c r="BH1434" s="1160"/>
      <c r="BI1434" s="1160"/>
      <c r="BJ1434" s="1160"/>
      <c r="BK1434" s="1160"/>
      <c r="BL1434" s="1160"/>
      <c r="BM1434" s="1160"/>
      <c r="BN1434" s="1160"/>
      <c r="BO1434" s="1160"/>
      <c r="BP1434" s="1160"/>
      <c r="BQ1434" s="1160"/>
      <c r="BR1434" s="1160"/>
      <c r="BS1434" s="1160"/>
      <c r="BT1434" s="1160"/>
    </row>
    <row r="1435" spans="1:72" s="290" customFormat="1" ht="16.350000000000001" customHeight="1" outlineLevel="1">
      <c r="A1435" s="1105"/>
      <c r="B1435" s="1158" t="s">
        <v>946</v>
      </c>
      <c r="C1435" s="1194"/>
      <c r="D1435" s="1194"/>
      <c r="E1435" s="1194">
        <v>0</v>
      </c>
      <c r="F1435" s="1194">
        <v>0</v>
      </c>
      <c r="G1435" s="1194">
        <v>0</v>
      </c>
      <c r="H1435" s="1194">
        <v>0</v>
      </c>
      <c r="I1435" s="1194">
        <v>0</v>
      </c>
      <c r="J1435" s="1194">
        <v>12262000</v>
      </c>
      <c r="K1435" s="1194">
        <v>187237000</v>
      </c>
      <c r="L1435" s="1202"/>
      <c r="M1435" s="1202"/>
      <c r="N1435" s="1202"/>
      <c r="O1435" s="1202"/>
      <c r="P1435" s="1202"/>
      <c r="Q1435" s="1202"/>
      <c r="R1435" s="1110"/>
      <c r="S1435" s="1160"/>
      <c r="T1435" s="1160"/>
      <c r="U1435" s="1160"/>
      <c r="V1435" s="1160"/>
      <c r="W1435" s="1160"/>
      <c r="X1435" s="1160"/>
      <c r="Y1435" s="1160"/>
      <c r="Z1435" s="1160"/>
      <c r="AA1435" s="1160"/>
      <c r="AB1435" s="1160"/>
      <c r="AC1435" s="1160"/>
      <c r="AD1435" s="1160"/>
      <c r="AE1435" s="1160"/>
      <c r="AF1435" s="1160"/>
      <c r="AG1435" s="1160"/>
      <c r="AH1435" s="1160"/>
      <c r="AI1435" s="1160"/>
      <c r="AJ1435" s="1160"/>
      <c r="AK1435" s="1160"/>
      <c r="AL1435" s="1160"/>
      <c r="AM1435" s="1160"/>
      <c r="AN1435" s="1160"/>
      <c r="AO1435" s="1160"/>
      <c r="AP1435" s="1160"/>
      <c r="AQ1435" s="1160"/>
      <c r="AR1435" s="1160"/>
      <c r="AS1435" s="1160"/>
      <c r="AT1435" s="1160"/>
      <c r="AU1435" s="1160"/>
      <c r="AV1435" s="1160"/>
      <c r="AW1435" s="1160"/>
      <c r="AX1435" s="1160"/>
      <c r="AY1435" s="1160"/>
      <c r="AZ1435" s="1160"/>
      <c r="BA1435" s="1160"/>
      <c r="BB1435" s="1160"/>
      <c r="BC1435" s="1160"/>
      <c r="BD1435" s="1160"/>
      <c r="BE1435" s="1160"/>
      <c r="BF1435" s="1160"/>
      <c r="BG1435" s="1160"/>
      <c r="BH1435" s="1160"/>
      <c r="BI1435" s="1160"/>
      <c r="BJ1435" s="1160"/>
      <c r="BK1435" s="1160"/>
      <c r="BL1435" s="1160"/>
      <c r="BM1435" s="1160"/>
      <c r="BN1435" s="1160"/>
      <c r="BO1435" s="1160"/>
      <c r="BP1435" s="1160"/>
      <c r="BQ1435" s="1160"/>
      <c r="BR1435" s="1160"/>
      <c r="BS1435" s="1160"/>
      <c r="BT1435" s="1160"/>
    </row>
    <row r="1436" spans="1:72" s="290" customFormat="1" ht="16.350000000000001" customHeight="1" outlineLevel="1">
      <c r="A1436" s="1105"/>
      <c r="B1436" s="1158" t="s">
        <v>170</v>
      </c>
      <c r="C1436" s="1194"/>
      <c r="D1436" s="1194">
        <v>1447052000</v>
      </c>
      <c r="E1436" s="1194">
        <v>315696000</v>
      </c>
      <c r="F1436" s="1194"/>
      <c r="G1436" s="1194"/>
      <c r="H1436" s="1194"/>
      <c r="I1436" s="1194"/>
      <c r="J1436" s="1194"/>
      <c r="K1436" s="1194"/>
      <c r="L1436" s="1202"/>
      <c r="M1436" s="1202"/>
      <c r="N1436" s="1202"/>
      <c r="O1436" s="1202"/>
      <c r="P1436" s="1202"/>
      <c r="Q1436" s="1202"/>
      <c r="R1436" s="1110"/>
      <c r="S1436" s="1160"/>
      <c r="T1436" s="1160"/>
      <c r="U1436" s="1160"/>
      <c r="V1436" s="1160"/>
      <c r="W1436" s="1160"/>
      <c r="X1436" s="1160"/>
      <c r="Y1436" s="1160"/>
      <c r="Z1436" s="1160"/>
      <c r="AA1436" s="1160"/>
      <c r="AB1436" s="1160"/>
      <c r="AC1436" s="1160"/>
      <c r="AD1436" s="1160"/>
      <c r="AE1436" s="1160"/>
      <c r="AF1436" s="1160"/>
      <c r="AG1436" s="1160"/>
      <c r="AH1436" s="1160"/>
      <c r="AI1436" s="1160"/>
      <c r="AJ1436" s="1160"/>
      <c r="AK1436" s="1160"/>
      <c r="AL1436" s="1160"/>
      <c r="AM1436" s="1160"/>
      <c r="AN1436" s="1160"/>
      <c r="AO1436" s="1160"/>
      <c r="AP1436" s="1160"/>
      <c r="AQ1436" s="1160"/>
      <c r="AR1436" s="1160"/>
      <c r="AS1436" s="1160"/>
      <c r="AT1436" s="1160"/>
      <c r="AU1436" s="1160"/>
      <c r="AV1436" s="1160"/>
      <c r="AW1436" s="1160"/>
      <c r="AX1436" s="1160"/>
      <c r="AY1436" s="1160"/>
      <c r="AZ1436" s="1160"/>
      <c r="BA1436" s="1160"/>
      <c r="BB1436" s="1160"/>
      <c r="BC1436" s="1160"/>
      <c r="BD1436" s="1160"/>
      <c r="BE1436" s="1160"/>
      <c r="BF1436" s="1160"/>
      <c r="BG1436" s="1160"/>
      <c r="BH1436" s="1160"/>
      <c r="BI1436" s="1160"/>
      <c r="BJ1436" s="1160"/>
      <c r="BK1436" s="1160"/>
      <c r="BL1436" s="1160"/>
      <c r="BM1436" s="1160"/>
      <c r="BN1436" s="1160"/>
      <c r="BO1436" s="1160"/>
      <c r="BP1436" s="1160"/>
      <c r="BQ1436" s="1160"/>
      <c r="BR1436" s="1160"/>
      <c r="BS1436" s="1160"/>
      <c r="BT1436" s="1160"/>
    </row>
    <row r="1437" spans="1:72" s="1125" customFormat="1" ht="16.350000000000001" customHeight="1" outlineLevel="1">
      <c r="A1437" s="1105"/>
      <c r="B1437" s="1121" t="s">
        <v>947</v>
      </c>
      <c r="C1437" s="1194"/>
      <c r="D1437" s="1194">
        <v>70837201000</v>
      </c>
      <c r="E1437" s="1194">
        <v>40121925000</v>
      </c>
      <c r="F1437" s="1194">
        <v>50105880000</v>
      </c>
      <c r="G1437" s="1194">
        <f>G1441+G1447+G1452+G1442+G1448+G1453+G1454</f>
        <v>44817119000</v>
      </c>
      <c r="H1437" s="1194">
        <v>51256674000</v>
      </c>
      <c r="I1437" s="1194">
        <v>36319761000</v>
      </c>
      <c r="J1437" s="1194">
        <v>25109636000</v>
      </c>
      <c r="K1437" s="1194">
        <v>6000191000</v>
      </c>
      <c r="L1437" s="1195"/>
      <c r="M1437" s="1195"/>
      <c r="N1437" s="1195"/>
      <c r="O1437" s="1195"/>
      <c r="P1437" s="1195"/>
      <c r="Q1437" s="1195"/>
      <c r="R1437" s="1110"/>
      <c r="S1437" s="1124"/>
      <c r="T1437" s="1124"/>
      <c r="U1437" s="1124"/>
      <c r="V1437" s="1124"/>
      <c r="W1437" s="1124"/>
      <c r="X1437" s="1124"/>
      <c r="Y1437" s="1124"/>
      <c r="Z1437" s="1124"/>
      <c r="AA1437" s="1124"/>
      <c r="AB1437" s="1124"/>
      <c r="AC1437" s="1124"/>
      <c r="AD1437" s="1124"/>
      <c r="AE1437" s="1124"/>
      <c r="AF1437" s="1124"/>
      <c r="AG1437" s="1124"/>
      <c r="AH1437" s="1124"/>
      <c r="AI1437" s="1124"/>
      <c r="AJ1437" s="1124"/>
      <c r="AK1437" s="1124"/>
      <c r="AL1437" s="1124"/>
      <c r="AM1437" s="1124"/>
      <c r="AN1437" s="1124"/>
      <c r="AO1437" s="1124"/>
      <c r="AP1437" s="1124"/>
      <c r="AQ1437" s="1124"/>
      <c r="AR1437" s="1124"/>
      <c r="AS1437" s="1124"/>
      <c r="AT1437" s="1124"/>
      <c r="AU1437" s="1124"/>
      <c r="AV1437" s="1124"/>
      <c r="AW1437" s="1124"/>
      <c r="AX1437" s="1124"/>
      <c r="AY1437" s="1124"/>
      <c r="AZ1437" s="1124"/>
      <c r="BA1437" s="1124"/>
      <c r="BB1437" s="1124"/>
      <c r="BC1437" s="1124"/>
      <c r="BD1437" s="1124"/>
      <c r="BE1437" s="1124"/>
      <c r="BF1437" s="1124"/>
      <c r="BG1437" s="1124"/>
      <c r="BH1437" s="1124"/>
      <c r="BI1437" s="1124"/>
      <c r="BJ1437" s="1124"/>
      <c r="BK1437" s="1124"/>
      <c r="BL1437" s="1124"/>
      <c r="BM1437" s="1124"/>
      <c r="BN1437" s="1124"/>
      <c r="BO1437" s="1124"/>
      <c r="BP1437" s="1124"/>
      <c r="BQ1437" s="1124"/>
      <c r="BR1437" s="1124"/>
      <c r="BS1437" s="1124"/>
      <c r="BT1437" s="1124"/>
    </row>
    <row r="1438" spans="1:72" s="290" customFormat="1" ht="16.350000000000001" customHeight="1" outlineLevel="2">
      <c r="A1438" s="1105"/>
      <c r="B1438" s="1181" t="s">
        <v>948</v>
      </c>
      <c r="C1438" s="1194"/>
      <c r="D1438" s="1194"/>
      <c r="E1438" s="1194"/>
      <c r="F1438" s="1194"/>
      <c r="G1438" s="1194"/>
      <c r="H1438" s="1194"/>
      <c r="I1438" s="1194"/>
      <c r="J1438" s="1194"/>
      <c r="K1438" s="1194"/>
      <c r="L1438" s="1202"/>
      <c r="M1438" s="1202"/>
      <c r="N1438" s="1202"/>
      <c r="O1438" s="1202"/>
      <c r="P1438" s="1202"/>
      <c r="Q1438" s="1202"/>
      <c r="R1438" s="1110"/>
      <c r="S1438" s="1160"/>
      <c r="T1438" s="1160"/>
      <c r="U1438" s="1160"/>
      <c r="V1438" s="1160"/>
      <c r="W1438" s="1160"/>
      <c r="X1438" s="1160"/>
      <c r="Y1438" s="1160"/>
      <c r="Z1438" s="1160"/>
      <c r="AA1438" s="1160"/>
      <c r="AB1438" s="1160"/>
      <c r="AC1438" s="1160"/>
      <c r="AD1438" s="1160"/>
      <c r="AE1438" s="1160"/>
      <c r="AF1438" s="1160"/>
      <c r="AG1438" s="1160"/>
      <c r="AH1438" s="1160"/>
      <c r="AI1438" s="1160"/>
      <c r="AJ1438" s="1160"/>
      <c r="AK1438" s="1160"/>
      <c r="AL1438" s="1160"/>
      <c r="AM1438" s="1160"/>
      <c r="AN1438" s="1160"/>
      <c r="AO1438" s="1160"/>
      <c r="AP1438" s="1160"/>
      <c r="AQ1438" s="1160"/>
      <c r="AR1438" s="1160"/>
      <c r="AS1438" s="1160"/>
      <c r="AT1438" s="1160"/>
      <c r="AU1438" s="1160"/>
      <c r="AV1438" s="1160"/>
      <c r="AW1438" s="1160"/>
      <c r="AX1438" s="1160"/>
      <c r="AY1438" s="1160"/>
      <c r="AZ1438" s="1160"/>
      <c r="BA1438" s="1160"/>
      <c r="BB1438" s="1160"/>
      <c r="BC1438" s="1160"/>
      <c r="BD1438" s="1160"/>
      <c r="BE1438" s="1160"/>
      <c r="BF1438" s="1160"/>
      <c r="BG1438" s="1160"/>
      <c r="BH1438" s="1160"/>
      <c r="BI1438" s="1160"/>
      <c r="BJ1438" s="1160"/>
      <c r="BK1438" s="1160"/>
      <c r="BL1438" s="1160"/>
      <c r="BM1438" s="1160"/>
      <c r="BN1438" s="1160"/>
      <c r="BO1438" s="1160"/>
      <c r="BP1438" s="1160"/>
      <c r="BQ1438" s="1160"/>
      <c r="BR1438" s="1160"/>
      <c r="BS1438" s="1160"/>
      <c r="BT1438" s="1160"/>
    </row>
    <row r="1439" spans="1:72" s="290" customFormat="1" ht="16.350000000000001" customHeight="1" outlineLevel="2">
      <c r="A1439" s="1105"/>
      <c r="B1439" s="1203" t="s">
        <v>949</v>
      </c>
      <c r="C1439" s="1194"/>
      <c r="D1439" s="1194"/>
      <c r="E1439" s="1194">
        <v>20619115000</v>
      </c>
      <c r="F1439" s="1194"/>
      <c r="G1439" s="1194"/>
      <c r="H1439" s="1194"/>
      <c r="I1439" s="1194"/>
      <c r="J1439" s="1194"/>
      <c r="K1439" s="1194"/>
      <c r="L1439" s="1202"/>
      <c r="M1439" s="1202"/>
      <c r="N1439" s="1202"/>
      <c r="O1439" s="1202"/>
      <c r="P1439" s="1202"/>
      <c r="Q1439" s="1202"/>
      <c r="R1439" s="1110"/>
      <c r="S1439" s="1160"/>
      <c r="T1439" s="1160"/>
      <c r="U1439" s="1160"/>
      <c r="V1439" s="1160"/>
      <c r="W1439" s="1160"/>
      <c r="X1439" s="1160"/>
      <c r="Y1439" s="1160"/>
      <c r="Z1439" s="1160"/>
      <c r="AA1439" s="1160"/>
      <c r="AB1439" s="1160"/>
      <c r="AC1439" s="1160"/>
      <c r="AD1439" s="1160"/>
      <c r="AE1439" s="1160"/>
      <c r="AF1439" s="1160"/>
      <c r="AG1439" s="1160"/>
      <c r="AH1439" s="1160"/>
      <c r="AI1439" s="1160"/>
      <c r="AJ1439" s="1160"/>
      <c r="AK1439" s="1160"/>
      <c r="AL1439" s="1160"/>
      <c r="AM1439" s="1160"/>
      <c r="AN1439" s="1160"/>
      <c r="AO1439" s="1160"/>
      <c r="AP1439" s="1160"/>
      <c r="AQ1439" s="1160"/>
      <c r="AR1439" s="1160"/>
      <c r="AS1439" s="1160"/>
      <c r="AT1439" s="1160"/>
      <c r="AU1439" s="1160"/>
      <c r="AV1439" s="1160"/>
      <c r="AW1439" s="1160"/>
      <c r="AX1439" s="1160"/>
      <c r="AY1439" s="1160"/>
      <c r="AZ1439" s="1160"/>
      <c r="BA1439" s="1160"/>
      <c r="BB1439" s="1160"/>
      <c r="BC1439" s="1160"/>
      <c r="BD1439" s="1160"/>
      <c r="BE1439" s="1160"/>
      <c r="BF1439" s="1160"/>
      <c r="BG1439" s="1160"/>
      <c r="BH1439" s="1160"/>
      <c r="BI1439" s="1160"/>
      <c r="BJ1439" s="1160"/>
      <c r="BK1439" s="1160"/>
      <c r="BL1439" s="1160"/>
      <c r="BM1439" s="1160"/>
      <c r="BN1439" s="1160"/>
      <c r="BO1439" s="1160"/>
      <c r="BP1439" s="1160"/>
      <c r="BQ1439" s="1160"/>
      <c r="BR1439" s="1160"/>
      <c r="BS1439" s="1160"/>
      <c r="BT1439" s="1160"/>
    </row>
    <row r="1440" spans="1:72" s="290" customFormat="1" ht="16.350000000000001" customHeight="1" outlineLevel="2">
      <c r="A1440" s="1105"/>
      <c r="B1440" s="1203" t="s">
        <v>950</v>
      </c>
      <c r="C1440" s="1194"/>
      <c r="D1440" s="1194"/>
      <c r="E1440" s="1194"/>
      <c r="F1440" s="1194">
        <v>30388065000</v>
      </c>
      <c r="G1440" s="1194"/>
      <c r="H1440" s="1194"/>
      <c r="I1440" s="1194"/>
      <c r="J1440" s="1194"/>
      <c r="K1440" s="1194"/>
      <c r="L1440" s="1202"/>
      <c r="M1440" s="1202"/>
      <c r="N1440" s="1202"/>
      <c r="O1440" s="1202"/>
      <c r="P1440" s="1202"/>
      <c r="Q1440" s="1202"/>
      <c r="R1440" s="1110"/>
      <c r="S1440" s="1160"/>
      <c r="T1440" s="1160"/>
      <c r="U1440" s="1160"/>
      <c r="V1440" s="1160"/>
      <c r="W1440" s="1160"/>
      <c r="X1440" s="1160"/>
      <c r="Y1440" s="1160"/>
      <c r="Z1440" s="1160"/>
      <c r="AA1440" s="1160"/>
      <c r="AB1440" s="1160"/>
      <c r="AC1440" s="1160"/>
      <c r="AD1440" s="1160"/>
      <c r="AE1440" s="1160"/>
      <c r="AF1440" s="1160"/>
      <c r="AG1440" s="1160"/>
      <c r="AH1440" s="1160"/>
      <c r="AI1440" s="1160"/>
      <c r="AJ1440" s="1160"/>
      <c r="AK1440" s="1160"/>
      <c r="AL1440" s="1160"/>
      <c r="AM1440" s="1160"/>
      <c r="AN1440" s="1160"/>
      <c r="AO1440" s="1160"/>
      <c r="AP1440" s="1160"/>
      <c r="AQ1440" s="1160"/>
      <c r="AR1440" s="1160"/>
      <c r="AS1440" s="1160"/>
      <c r="AT1440" s="1160"/>
      <c r="AU1440" s="1160"/>
      <c r="AV1440" s="1160"/>
      <c r="AW1440" s="1160"/>
      <c r="AX1440" s="1160"/>
      <c r="AY1440" s="1160"/>
      <c r="AZ1440" s="1160"/>
      <c r="BA1440" s="1160"/>
      <c r="BB1440" s="1160"/>
      <c r="BC1440" s="1160"/>
      <c r="BD1440" s="1160"/>
      <c r="BE1440" s="1160"/>
      <c r="BF1440" s="1160"/>
      <c r="BG1440" s="1160"/>
      <c r="BH1440" s="1160"/>
      <c r="BI1440" s="1160"/>
      <c r="BJ1440" s="1160"/>
      <c r="BK1440" s="1160"/>
      <c r="BL1440" s="1160"/>
      <c r="BM1440" s="1160"/>
      <c r="BN1440" s="1160"/>
      <c r="BO1440" s="1160"/>
      <c r="BP1440" s="1160"/>
      <c r="BQ1440" s="1160"/>
      <c r="BR1440" s="1160"/>
      <c r="BS1440" s="1160"/>
      <c r="BT1440" s="1160"/>
    </row>
    <row r="1441" spans="1:72" s="290" customFormat="1" ht="16.350000000000001" customHeight="1" outlineLevel="2" collapsed="1">
      <c r="A1441" s="1105"/>
      <c r="B1441" s="1203" t="s">
        <v>951</v>
      </c>
      <c r="C1441" s="1194"/>
      <c r="D1441" s="1194"/>
      <c r="E1441" s="1194"/>
      <c r="F1441" s="1194">
        <v>0</v>
      </c>
      <c r="G1441" s="1194">
        <v>25867106000</v>
      </c>
      <c r="H1441" s="1194">
        <v>0</v>
      </c>
      <c r="I1441" s="1194"/>
      <c r="J1441" s="1194"/>
      <c r="K1441" s="1194"/>
      <c r="L1441" s="1202"/>
      <c r="M1441" s="1202"/>
      <c r="N1441" s="1202"/>
      <c r="O1441" s="1202"/>
      <c r="P1441" s="1202"/>
      <c r="Q1441" s="1202"/>
      <c r="R1441" s="1110"/>
      <c r="S1441" s="1160"/>
      <c r="T1441" s="1160"/>
      <c r="U1441" s="1160"/>
      <c r="V1441" s="1160"/>
      <c r="W1441" s="1160"/>
      <c r="X1441" s="1160"/>
      <c r="Y1441" s="1160"/>
      <c r="Z1441" s="1160"/>
      <c r="AA1441" s="1160"/>
      <c r="AB1441" s="1160"/>
      <c r="AC1441" s="1160"/>
      <c r="AD1441" s="1160"/>
      <c r="AE1441" s="1160"/>
      <c r="AF1441" s="1160"/>
      <c r="AG1441" s="1160"/>
      <c r="AH1441" s="1160"/>
      <c r="AI1441" s="1160"/>
      <c r="AJ1441" s="1160"/>
      <c r="AK1441" s="1160"/>
      <c r="AL1441" s="1160"/>
      <c r="AM1441" s="1160"/>
      <c r="AN1441" s="1160"/>
      <c r="AO1441" s="1160"/>
      <c r="AP1441" s="1160"/>
      <c r="AQ1441" s="1160"/>
      <c r="AR1441" s="1160"/>
      <c r="AS1441" s="1160"/>
      <c r="AT1441" s="1160"/>
      <c r="AU1441" s="1160"/>
      <c r="AV1441" s="1160"/>
      <c r="AW1441" s="1160"/>
      <c r="AX1441" s="1160"/>
      <c r="AY1441" s="1160"/>
      <c r="AZ1441" s="1160"/>
      <c r="BA1441" s="1160"/>
      <c r="BB1441" s="1160"/>
      <c r="BC1441" s="1160"/>
      <c r="BD1441" s="1160"/>
      <c r="BE1441" s="1160"/>
      <c r="BF1441" s="1160"/>
      <c r="BG1441" s="1160"/>
      <c r="BH1441" s="1160"/>
      <c r="BI1441" s="1160"/>
      <c r="BJ1441" s="1160"/>
      <c r="BK1441" s="1160"/>
      <c r="BL1441" s="1160"/>
      <c r="BM1441" s="1160"/>
      <c r="BN1441" s="1160"/>
      <c r="BO1441" s="1160"/>
      <c r="BP1441" s="1160"/>
      <c r="BQ1441" s="1160"/>
      <c r="BR1441" s="1160"/>
      <c r="BS1441" s="1160"/>
      <c r="BT1441" s="1160"/>
    </row>
    <row r="1442" spans="1:72" s="290" customFormat="1" ht="16.350000000000001" customHeight="1" outlineLevel="2" collapsed="1">
      <c r="A1442" s="1105"/>
      <c r="B1442" s="1203" t="s">
        <v>952</v>
      </c>
      <c r="C1442" s="1194"/>
      <c r="D1442" s="1194"/>
      <c r="E1442" s="1194"/>
      <c r="F1442" s="1194">
        <v>0</v>
      </c>
      <c r="G1442" s="1194">
        <v>0</v>
      </c>
      <c r="H1442" s="1194">
        <v>5118783000</v>
      </c>
      <c r="I1442" s="1194"/>
      <c r="J1442" s="1194"/>
      <c r="K1442" s="1194"/>
      <c r="L1442" s="1202"/>
      <c r="M1442" s="1202"/>
      <c r="N1442" s="1202"/>
      <c r="O1442" s="1202"/>
      <c r="P1442" s="1202"/>
      <c r="Q1442" s="1202"/>
      <c r="R1442" s="1110"/>
      <c r="S1442" s="1160"/>
      <c r="T1442" s="1160"/>
      <c r="U1442" s="1160"/>
      <c r="V1442" s="1160"/>
      <c r="W1442" s="1160"/>
      <c r="X1442" s="1160"/>
      <c r="Y1442" s="1160"/>
      <c r="Z1442" s="1160"/>
      <c r="AA1442" s="1160"/>
      <c r="AB1442" s="1160"/>
      <c r="AC1442" s="1160"/>
      <c r="AD1442" s="1160"/>
      <c r="AE1442" s="1160"/>
      <c r="AF1442" s="1160"/>
      <c r="AG1442" s="1160"/>
      <c r="AH1442" s="1160"/>
      <c r="AI1442" s="1160"/>
      <c r="AJ1442" s="1160"/>
      <c r="AK1442" s="1160"/>
      <c r="AL1442" s="1160"/>
      <c r="AM1442" s="1160"/>
      <c r="AN1442" s="1160"/>
      <c r="AO1442" s="1160"/>
      <c r="AP1442" s="1160"/>
      <c r="AQ1442" s="1160"/>
      <c r="AR1442" s="1160"/>
      <c r="AS1442" s="1160"/>
      <c r="AT1442" s="1160"/>
      <c r="AU1442" s="1160"/>
      <c r="AV1442" s="1160"/>
      <c r="AW1442" s="1160"/>
      <c r="AX1442" s="1160"/>
      <c r="AY1442" s="1160"/>
      <c r="AZ1442" s="1160"/>
      <c r="BA1442" s="1160"/>
      <c r="BB1442" s="1160"/>
      <c r="BC1442" s="1160"/>
      <c r="BD1442" s="1160"/>
      <c r="BE1442" s="1160"/>
      <c r="BF1442" s="1160"/>
      <c r="BG1442" s="1160"/>
      <c r="BH1442" s="1160"/>
      <c r="BI1442" s="1160"/>
      <c r="BJ1442" s="1160"/>
      <c r="BK1442" s="1160"/>
      <c r="BL1442" s="1160"/>
      <c r="BM1442" s="1160"/>
      <c r="BN1442" s="1160"/>
      <c r="BO1442" s="1160"/>
      <c r="BP1442" s="1160"/>
      <c r="BQ1442" s="1160"/>
      <c r="BR1442" s="1160"/>
      <c r="BS1442" s="1160"/>
      <c r="BT1442" s="1160"/>
    </row>
    <row r="1443" spans="1:72" s="290" customFormat="1" ht="16.350000000000001" customHeight="1" outlineLevel="2">
      <c r="A1443" s="1105"/>
      <c r="B1443" s="1181" t="s">
        <v>953</v>
      </c>
      <c r="C1443" s="1194"/>
      <c r="D1443" s="1194"/>
      <c r="E1443" s="1194"/>
      <c r="F1443" s="1194"/>
      <c r="G1443" s="1194"/>
      <c r="H1443" s="1194"/>
      <c r="I1443" s="1194"/>
      <c r="J1443" s="1194"/>
      <c r="K1443" s="1194"/>
      <c r="L1443" s="1202"/>
      <c r="M1443" s="1202"/>
      <c r="N1443" s="1202"/>
      <c r="O1443" s="1202"/>
      <c r="P1443" s="1202"/>
      <c r="Q1443" s="1202"/>
      <c r="R1443" s="1110"/>
      <c r="S1443" s="1160"/>
      <c r="T1443" s="1160"/>
      <c r="U1443" s="1160"/>
      <c r="V1443" s="1160"/>
      <c r="W1443" s="1160"/>
      <c r="X1443" s="1160"/>
      <c r="Y1443" s="1160"/>
      <c r="Z1443" s="1160"/>
      <c r="AA1443" s="1160"/>
      <c r="AB1443" s="1160"/>
      <c r="AC1443" s="1160"/>
      <c r="AD1443" s="1160"/>
      <c r="AE1443" s="1160"/>
      <c r="AF1443" s="1160"/>
      <c r="AG1443" s="1160"/>
      <c r="AH1443" s="1160"/>
      <c r="AI1443" s="1160"/>
      <c r="AJ1443" s="1160"/>
      <c r="AK1443" s="1160"/>
      <c r="AL1443" s="1160"/>
      <c r="AM1443" s="1160"/>
      <c r="AN1443" s="1160"/>
      <c r="AO1443" s="1160"/>
      <c r="AP1443" s="1160"/>
      <c r="AQ1443" s="1160"/>
      <c r="AR1443" s="1160"/>
      <c r="AS1443" s="1160"/>
      <c r="AT1443" s="1160"/>
      <c r="AU1443" s="1160"/>
      <c r="AV1443" s="1160"/>
      <c r="AW1443" s="1160"/>
      <c r="AX1443" s="1160"/>
      <c r="AY1443" s="1160"/>
      <c r="AZ1443" s="1160"/>
      <c r="BA1443" s="1160"/>
      <c r="BB1443" s="1160"/>
      <c r="BC1443" s="1160"/>
      <c r="BD1443" s="1160"/>
      <c r="BE1443" s="1160"/>
      <c r="BF1443" s="1160"/>
      <c r="BG1443" s="1160"/>
      <c r="BH1443" s="1160"/>
      <c r="BI1443" s="1160"/>
      <c r="BJ1443" s="1160"/>
      <c r="BK1443" s="1160"/>
      <c r="BL1443" s="1160"/>
      <c r="BM1443" s="1160"/>
      <c r="BN1443" s="1160"/>
      <c r="BO1443" s="1160"/>
      <c r="BP1443" s="1160"/>
      <c r="BQ1443" s="1160"/>
      <c r="BR1443" s="1160"/>
      <c r="BS1443" s="1160"/>
      <c r="BT1443" s="1160"/>
    </row>
    <row r="1444" spans="1:72" s="290" customFormat="1" ht="16.350000000000001" customHeight="1" outlineLevel="2">
      <c r="A1444" s="1105"/>
      <c r="B1444" s="1203" t="s">
        <v>954</v>
      </c>
      <c r="C1444" s="1194"/>
      <c r="D1444" s="1194">
        <v>70535826000</v>
      </c>
      <c r="E1444" s="1194"/>
      <c r="F1444" s="1194"/>
      <c r="G1444" s="1194"/>
      <c r="H1444" s="1194"/>
      <c r="I1444" s="1194"/>
      <c r="J1444" s="1194"/>
      <c r="K1444" s="1194"/>
      <c r="L1444" s="1202"/>
      <c r="M1444" s="1202"/>
      <c r="N1444" s="1202"/>
      <c r="O1444" s="1202"/>
      <c r="P1444" s="1202"/>
      <c r="Q1444" s="1202"/>
      <c r="R1444" s="1110"/>
      <c r="S1444" s="1160"/>
      <c r="T1444" s="1160"/>
      <c r="U1444" s="1160"/>
      <c r="V1444" s="1160"/>
      <c r="W1444" s="1160"/>
      <c r="X1444" s="1160"/>
      <c r="Y1444" s="1160"/>
      <c r="Z1444" s="1160"/>
      <c r="AA1444" s="1160"/>
      <c r="AB1444" s="1160"/>
      <c r="AC1444" s="1160"/>
      <c r="AD1444" s="1160"/>
      <c r="AE1444" s="1160"/>
      <c r="AF1444" s="1160"/>
      <c r="AG1444" s="1160"/>
      <c r="AH1444" s="1160"/>
      <c r="AI1444" s="1160"/>
      <c r="AJ1444" s="1160"/>
      <c r="AK1444" s="1160"/>
      <c r="AL1444" s="1160"/>
      <c r="AM1444" s="1160"/>
      <c r="AN1444" s="1160"/>
      <c r="AO1444" s="1160"/>
      <c r="AP1444" s="1160"/>
      <c r="AQ1444" s="1160"/>
      <c r="AR1444" s="1160"/>
      <c r="AS1444" s="1160"/>
      <c r="AT1444" s="1160"/>
      <c r="AU1444" s="1160"/>
      <c r="AV1444" s="1160"/>
      <c r="AW1444" s="1160"/>
      <c r="AX1444" s="1160"/>
      <c r="AY1444" s="1160"/>
      <c r="AZ1444" s="1160"/>
      <c r="BA1444" s="1160"/>
      <c r="BB1444" s="1160"/>
      <c r="BC1444" s="1160"/>
      <c r="BD1444" s="1160"/>
      <c r="BE1444" s="1160"/>
      <c r="BF1444" s="1160"/>
      <c r="BG1444" s="1160"/>
      <c r="BH1444" s="1160"/>
      <c r="BI1444" s="1160"/>
      <c r="BJ1444" s="1160"/>
      <c r="BK1444" s="1160"/>
      <c r="BL1444" s="1160"/>
      <c r="BM1444" s="1160"/>
      <c r="BN1444" s="1160"/>
      <c r="BO1444" s="1160"/>
      <c r="BP1444" s="1160"/>
      <c r="BQ1444" s="1160"/>
      <c r="BR1444" s="1160"/>
      <c r="BS1444" s="1160"/>
      <c r="BT1444" s="1160"/>
    </row>
    <row r="1445" spans="1:72" s="290" customFormat="1" ht="16.350000000000001" customHeight="1" outlineLevel="2">
      <c r="A1445" s="1105"/>
      <c r="B1445" s="1203" t="s">
        <v>955</v>
      </c>
      <c r="C1445" s="1194"/>
      <c r="D1445" s="1194"/>
      <c r="E1445" s="1194">
        <v>13819185000</v>
      </c>
      <c r="F1445" s="1194"/>
      <c r="G1445" s="1194"/>
      <c r="H1445" s="1194"/>
      <c r="I1445" s="1194"/>
      <c r="J1445" s="1194"/>
      <c r="K1445" s="1194"/>
      <c r="L1445" s="1202"/>
      <c r="M1445" s="1202"/>
      <c r="N1445" s="1202"/>
      <c r="O1445" s="1202"/>
      <c r="P1445" s="1202"/>
      <c r="Q1445" s="1202"/>
      <c r="R1445" s="1110"/>
      <c r="S1445" s="1160"/>
      <c r="T1445" s="1160"/>
      <c r="U1445" s="1160"/>
      <c r="V1445" s="1160"/>
      <c r="W1445" s="1160"/>
      <c r="X1445" s="1160"/>
      <c r="Y1445" s="1160"/>
      <c r="Z1445" s="1160"/>
      <c r="AA1445" s="1160"/>
      <c r="AB1445" s="1160"/>
      <c r="AC1445" s="1160"/>
      <c r="AD1445" s="1160"/>
      <c r="AE1445" s="1160"/>
      <c r="AF1445" s="1160"/>
      <c r="AG1445" s="1160"/>
      <c r="AH1445" s="1160"/>
      <c r="AI1445" s="1160"/>
      <c r="AJ1445" s="1160"/>
      <c r="AK1445" s="1160"/>
      <c r="AL1445" s="1160"/>
      <c r="AM1445" s="1160"/>
      <c r="AN1445" s="1160"/>
      <c r="AO1445" s="1160"/>
      <c r="AP1445" s="1160"/>
      <c r="AQ1445" s="1160"/>
      <c r="AR1445" s="1160"/>
      <c r="AS1445" s="1160"/>
      <c r="AT1445" s="1160"/>
      <c r="AU1445" s="1160"/>
      <c r="AV1445" s="1160"/>
      <c r="AW1445" s="1160"/>
      <c r="AX1445" s="1160"/>
      <c r="AY1445" s="1160"/>
      <c r="AZ1445" s="1160"/>
      <c r="BA1445" s="1160"/>
      <c r="BB1445" s="1160"/>
      <c r="BC1445" s="1160"/>
      <c r="BD1445" s="1160"/>
      <c r="BE1445" s="1160"/>
      <c r="BF1445" s="1160"/>
      <c r="BG1445" s="1160"/>
      <c r="BH1445" s="1160"/>
      <c r="BI1445" s="1160"/>
      <c r="BJ1445" s="1160"/>
      <c r="BK1445" s="1160"/>
      <c r="BL1445" s="1160"/>
      <c r="BM1445" s="1160"/>
      <c r="BN1445" s="1160"/>
      <c r="BO1445" s="1160"/>
      <c r="BP1445" s="1160"/>
      <c r="BQ1445" s="1160"/>
      <c r="BR1445" s="1160"/>
      <c r="BS1445" s="1160"/>
      <c r="BT1445" s="1160"/>
    </row>
    <row r="1446" spans="1:72" s="290" customFormat="1" ht="16.350000000000001" customHeight="1" outlineLevel="2">
      <c r="A1446" s="1105"/>
      <c r="B1446" s="1203" t="s">
        <v>956</v>
      </c>
      <c r="C1446" s="1194"/>
      <c r="D1446" s="1194"/>
      <c r="E1446" s="1194"/>
      <c r="F1446" s="1194">
        <v>18937467000</v>
      </c>
      <c r="G1446" s="1194"/>
      <c r="H1446" s="1194"/>
      <c r="I1446" s="1194"/>
      <c r="J1446" s="1194"/>
      <c r="K1446" s="1194"/>
      <c r="L1446" s="1202"/>
      <c r="M1446" s="1202"/>
      <c r="N1446" s="1202"/>
      <c r="O1446" s="1202"/>
      <c r="P1446" s="1202"/>
      <c r="Q1446" s="1202"/>
      <c r="R1446" s="1110"/>
      <c r="S1446" s="1160"/>
      <c r="T1446" s="1160"/>
      <c r="U1446" s="1160"/>
      <c r="V1446" s="1160"/>
      <c r="W1446" s="1160"/>
      <c r="X1446" s="1160"/>
      <c r="Y1446" s="1160"/>
      <c r="Z1446" s="1160"/>
      <c r="AA1446" s="1160"/>
      <c r="AB1446" s="1160"/>
      <c r="AC1446" s="1160"/>
      <c r="AD1446" s="1160"/>
      <c r="AE1446" s="1160"/>
      <c r="AF1446" s="1160"/>
      <c r="AG1446" s="1160"/>
      <c r="AH1446" s="1160"/>
      <c r="AI1446" s="1160"/>
      <c r="AJ1446" s="1160"/>
      <c r="AK1446" s="1160"/>
      <c r="AL1446" s="1160"/>
      <c r="AM1446" s="1160"/>
      <c r="AN1446" s="1160"/>
      <c r="AO1446" s="1160"/>
      <c r="AP1446" s="1160"/>
      <c r="AQ1446" s="1160"/>
      <c r="AR1446" s="1160"/>
      <c r="AS1446" s="1160"/>
      <c r="AT1446" s="1160"/>
      <c r="AU1446" s="1160"/>
      <c r="AV1446" s="1160"/>
      <c r="AW1446" s="1160"/>
      <c r="AX1446" s="1160"/>
      <c r="AY1446" s="1160"/>
      <c r="AZ1446" s="1160"/>
      <c r="BA1446" s="1160"/>
      <c r="BB1446" s="1160"/>
      <c r="BC1446" s="1160"/>
      <c r="BD1446" s="1160"/>
      <c r="BE1446" s="1160"/>
      <c r="BF1446" s="1160"/>
      <c r="BG1446" s="1160"/>
      <c r="BH1446" s="1160"/>
      <c r="BI1446" s="1160"/>
      <c r="BJ1446" s="1160"/>
      <c r="BK1446" s="1160"/>
      <c r="BL1446" s="1160"/>
      <c r="BM1446" s="1160"/>
      <c r="BN1446" s="1160"/>
      <c r="BO1446" s="1160"/>
      <c r="BP1446" s="1160"/>
      <c r="BQ1446" s="1160"/>
      <c r="BR1446" s="1160"/>
      <c r="BS1446" s="1160"/>
      <c r="BT1446" s="1160"/>
    </row>
    <row r="1447" spans="1:72" s="290" customFormat="1" ht="16.350000000000001" customHeight="1" outlineLevel="2" collapsed="1">
      <c r="A1447" s="1105"/>
      <c r="B1447" s="1203" t="s">
        <v>957</v>
      </c>
      <c r="C1447" s="1194"/>
      <c r="D1447" s="1194"/>
      <c r="E1447" s="1194"/>
      <c r="F1447" s="1194">
        <v>0</v>
      </c>
      <c r="G1447" s="1194">
        <v>16666436000</v>
      </c>
      <c r="H1447" s="1194">
        <v>0</v>
      </c>
      <c r="I1447" s="1194"/>
      <c r="J1447" s="1194"/>
      <c r="K1447" s="1194"/>
      <c r="L1447" s="1202"/>
      <c r="M1447" s="1202"/>
      <c r="N1447" s="1202"/>
      <c r="O1447" s="1202"/>
      <c r="P1447" s="1202"/>
      <c r="Q1447" s="1202"/>
      <c r="R1447" s="1110"/>
      <c r="S1447" s="1160"/>
      <c r="T1447" s="1160"/>
      <c r="U1447" s="1160"/>
      <c r="V1447" s="1160"/>
      <c r="W1447" s="1160"/>
      <c r="X1447" s="1160"/>
      <c r="Y1447" s="1160"/>
      <c r="Z1447" s="1160"/>
      <c r="AA1447" s="1160"/>
      <c r="AB1447" s="1160"/>
      <c r="AC1447" s="1160"/>
      <c r="AD1447" s="1160"/>
      <c r="AE1447" s="1160"/>
      <c r="AF1447" s="1160"/>
      <c r="AG1447" s="1160"/>
      <c r="AH1447" s="1160"/>
      <c r="AI1447" s="1160"/>
      <c r="AJ1447" s="1160"/>
      <c r="AK1447" s="1160"/>
      <c r="AL1447" s="1160"/>
      <c r="AM1447" s="1160"/>
      <c r="AN1447" s="1160"/>
      <c r="AO1447" s="1160"/>
      <c r="AP1447" s="1160"/>
      <c r="AQ1447" s="1160"/>
      <c r="AR1447" s="1160"/>
      <c r="AS1447" s="1160"/>
      <c r="AT1447" s="1160"/>
      <c r="AU1447" s="1160"/>
      <c r="AV1447" s="1160"/>
      <c r="AW1447" s="1160"/>
      <c r="AX1447" s="1160"/>
      <c r="AY1447" s="1160"/>
      <c r="AZ1447" s="1160"/>
      <c r="BA1447" s="1160"/>
      <c r="BB1447" s="1160"/>
      <c r="BC1447" s="1160"/>
      <c r="BD1447" s="1160"/>
      <c r="BE1447" s="1160"/>
      <c r="BF1447" s="1160"/>
      <c r="BG1447" s="1160"/>
      <c r="BH1447" s="1160"/>
      <c r="BI1447" s="1160"/>
      <c r="BJ1447" s="1160"/>
      <c r="BK1447" s="1160"/>
      <c r="BL1447" s="1160"/>
      <c r="BM1447" s="1160"/>
      <c r="BN1447" s="1160"/>
      <c r="BO1447" s="1160"/>
      <c r="BP1447" s="1160"/>
      <c r="BQ1447" s="1160"/>
      <c r="BR1447" s="1160"/>
      <c r="BS1447" s="1160"/>
      <c r="BT1447" s="1160"/>
    </row>
    <row r="1448" spans="1:72" s="290" customFormat="1" ht="16.350000000000001" customHeight="1" outlineLevel="2" collapsed="1">
      <c r="A1448" s="1105"/>
      <c r="B1448" s="1203" t="s">
        <v>958</v>
      </c>
      <c r="C1448" s="1194"/>
      <c r="D1448" s="1194"/>
      <c r="E1448" s="1194"/>
      <c r="F1448" s="1194">
        <v>0</v>
      </c>
      <c r="G1448" s="1194">
        <v>0</v>
      </c>
      <c r="H1448" s="1194">
        <v>45759030000</v>
      </c>
      <c r="I1448" s="1194"/>
      <c r="J1448" s="1194"/>
      <c r="K1448" s="1194"/>
      <c r="L1448" s="1202"/>
      <c r="M1448" s="1202"/>
      <c r="N1448" s="1202"/>
      <c r="O1448" s="1202"/>
      <c r="P1448" s="1202"/>
      <c r="Q1448" s="1202"/>
      <c r="R1448" s="1110"/>
      <c r="S1448" s="1160"/>
      <c r="T1448" s="1160"/>
      <c r="U1448" s="1160"/>
      <c r="V1448" s="1160"/>
      <c r="W1448" s="1160"/>
      <c r="X1448" s="1160"/>
      <c r="Y1448" s="1160"/>
      <c r="Z1448" s="1160"/>
      <c r="AA1448" s="1160"/>
      <c r="AB1448" s="1160"/>
      <c r="AC1448" s="1160"/>
      <c r="AD1448" s="1160"/>
      <c r="AE1448" s="1160"/>
      <c r="AF1448" s="1160"/>
      <c r="AG1448" s="1160"/>
      <c r="AH1448" s="1160"/>
      <c r="AI1448" s="1160"/>
      <c r="AJ1448" s="1160"/>
      <c r="AK1448" s="1160"/>
      <c r="AL1448" s="1160"/>
      <c r="AM1448" s="1160"/>
      <c r="AN1448" s="1160"/>
      <c r="AO1448" s="1160"/>
      <c r="AP1448" s="1160"/>
      <c r="AQ1448" s="1160"/>
      <c r="AR1448" s="1160"/>
      <c r="AS1448" s="1160"/>
      <c r="AT1448" s="1160"/>
      <c r="AU1448" s="1160"/>
      <c r="AV1448" s="1160"/>
      <c r="AW1448" s="1160"/>
      <c r="AX1448" s="1160"/>
      <c r="AY1448" s="1160"/>
      <c r="AZ1448" s="1160"/>
      <c r="BA1448" s="1160"/>
      <c r="BB1448" s="1160"/>
      <c r="BC1448" s="1160"/>
      <c r="BD1448" s="1160"/>
      <c r="BE1448" s="1160"/>
      <c r="BF1448" s="1160"/>
      <c r="BG1448" s="1160"/>
      <c r="BH1448" s="1160"/>
      <c r="BI1448" s="1160"/>
      <c r="BJ1448" s="1160"/>
      <c r="BK1448" s="1160"/>
      <c r="BL1448" s="1160"/>
      <c r="BM1448" s="1160"/>
      <c r="BN1448" s="1160"/>
      <c r="BO1448" s="1160"/>
      <c r="BP1448" s="1160"/>
      <c r="BQ1448" s="1160"/>
      <c r="BR1448" s="1160"/>
      <c r="BS1448" s="1160"/>
      <c r="BT1448" s="1160"/>
    </row>
    <row r="1449" spans="1:72" s="290" customFormat="1" ht="16.350000000000001" customHeight="1" outlineLevel="2">
      <c r="A1449" s="1105"/>
      <c r="B1449" s="1181" t="s">
        <v>959</v>
      </c>
      <c r="C1449" s="1194"/>
      <c r="D1449" s="1194"/>
      <c r="E1449" s="1194"/>
      <c r="F1449" s="1194"/>
      <c r="G1449" s="1194"/>
      <c r="H1449" s="1194"/>
      <c r="I1449" s="1194"/>
      <c r="J1449" s="1194"/>
      <c r="K1449" s="1194"/>
      <c r="L1449" s="1202"/>
      <c r="M1449" s="1202"/>
      <c r="N1449" s="1202"/>
      <c r="O1449" s="1202"/>
      <c r="P1449" s="1202"/>
      <c r="Q1449" s="1202"/>
      <c r="R1449" s="1110"/>
      <c r="S1449" s="1160"/>
      <c r="T1449" s="1160"/>
      <c r="U1449" s="1160"/>
      <c r="V1449" s="1160"/>
      <c r="W1449" s="1160"/>
      <c r="X1449" s="1160"/>
      <c r="Y1449" s="1160"/>
      <c r="Z1449" s="1160"/>
      <c r="AA1449" s="1160"/>
      <c r="AB1449" s="1160"/>
      <c r="AC1449" s="1160"/>
      <c r="AD1449" s="1160"/>
      <c r="AE1449" s="1160"/>
      <c r="AF1449" s="1160"/>
      <c r="AG1449" s="1160"/>
      <c r="AH1449" s="1160"/>
      <c r="AI1449" s="1160"/>
      <c r="AJ1449" s="1160"/>
      <c r="AK1449" s="1160"/>
      <c r="AL1449" s="1160"/>
      <c r="AM1449" s="1160"/>
      <c r="AN1449" s="1160"/>
      <c r="AO1449" s="1160"/>
      <c r="AP1449" s="1160"/>
      <c r="AQ1449" s="1160"/>
      <c r="AR1449" s="1160"/>
      <c r="AS1449" s="1160"/>
      <c r="AT1449" s="1160"/>
      <c r="AU1449" s="1160"/>
      <c r="AV1449" s="1160"/>
      <c r="AW1449" s="1160"/>
      <c r="AX1449" s="1160"/>
      <c r="AY1449" s="1160"/>
      <c r="AZ1449" s="1160"/>
      <c r="BA1449" s="1160"/>
      <c r="BB1449" s="1160"/>
      <c r="BC1449" s="1160"/>
      <c r="BD1449" s="1160"/>
      <c r="BE1449" s="1160"/>
      <c r="BF1449" s="1160"/>
      <c r="BG1449" s="1160"/>
      <c r="BH1449" s="1160"/>
      <c r="BI1449" s="1160"/>
      <c r="BJ1449" s="1160"/>
      <c r="BK1449" s="1160"/>
      <c r="BL1449" s="1160"/>
      <c r="BM1449" s="1160"/>
      <c r="BN1449" s="1160"/>
      <c r="BO1449" s="1160"/>
      <c r="BP1449" s="1160"/>
      <c r="BQ1449" s="1160"/>
      <c r="BR1449" s="1160"/>
      <c r="BS1449" s="1160"/>
      <c r="BT1449" s="1160"/>
    </row>
    <row r="1450" spans="1:72" s="290" customFormat="1" ht="16.350000000000001" customHeight="1" outlineLevel="2">
      <c r="A1450" s="1105"/>
      <c r="B1450" s="1203" t="s">
        <v>960</v>
      </c>
      <c r="C1450" s="1194"/>
      <c r="D1450" s="1194"/>
      <c r="E1450" s="1194">
        <v>5646527000</v>
      </c>
      <c r="F1450" s="1194"/>
      <c r="G1450" s="1194"/>
      <c r="H1450" s="1194"/>
      <c r="I1450" s="1194"/>
      <c r="J1450" s="1194"/>
      <c r="K1450" s="1194"/>
      <c r="L1450" s="1202"/>
      <c r="M1450" s="1202"/>
      <c r="N1450" s="1202"/>
      <c r="O1450" s="1202"/>
      <c r="P1450" s="1202"/>
      <c r="Q1450" s="1202"/>
      <c r="R1450" s="1110"/>
      <c r="S1450" s="1160"/>
      <c r="T1450" s="1160"/>
      <c r="U1450" s="1160"/>
      <c r="V1450" s="1160"/>
      <c r="W1450" s="1160"/>
      <c r="X1450" s="1160"/>
      <c r="Y1450" s="1160"/>
      <c r="Z1450" s="1160"/>
      <c r="AA1450" s="1160"/>
      <c r="AB1450" s="1160"/>
      <c r="AC1450" s="1160"/>
      <c r="AD1450" s="1160"/>
      <c r="AE1450" s="1160"/>
      <c r="AF1450" s="1160"/>
      <c r="AG1450" s="1160"/>
      <c r="AH1450" s="1160"/>
      <c r="AI1450" s="1160"/>
      <c r="AJ1450" s="1160"/>
      <c r="AK1450" s="1160"/>
      <c r="AL1450" s="1160"/>
      <c r="AM1450" s="1160"/>
      <c r="AN1450" s="1160"/>
      <c r="AO1450" s="1160"/>
      <c r="AP1450" s="1160"/>
      <c r="AQ1450" s="1160"/>
      <c r="AR1450" s="1160"/>
      <c r="AS1450" s="1160"/>
      <c r="AT1450" s="1160"/>
      <c r="AU1450" s="1160"/>
      <c r="AV1450" s="1160"/>
      <c r="AW1450" s="1160"/>
      <c r="AX1450" s="1160"/>
      <c r="AY1450" s="1160"/>
      <c r="AZ1450" s="1160"/>
      <c r="BA1450" s="1160"/>
      <c r="BB1450" s="1160"/>
      <c r="BC1450" s="1160"/>
      <c r="BD1450" s="1160"/>
      <c r="BE1450" s="1160"/>
      <c r="BF1450" s="1160"/>
      <c r="BG1450" s="1160"/>
      <c r="BH1450" s="1160"/>
      <c r="BI1450" s="1160"/>
      <c r="BJ1450" s="1160"/>
      <c r="BK1450" s="1160"/>
      <c r="BL1450" s="1160"/>
      <c r="BM1450" s="1160"/>
      <c r="BN1450" s="1160"/>
      <c r="BO1450" s="1160"/>
      <c r="BP1450" s="1160"/>
      <c r="BQ1450" s="1160"/>
      <c r="BR1450" s="1160"/>
      <c r="BS1450" s="1160"/>
      <c r="BT1450" s="1160"/>
    </row>
    <row r="1451" spans="1:72" s="290" customFormat="1" ht="16.350000000000001" customHeight="1" outlineLevel="2">
      <c r="A1451" s="1105"/>
      <c r="B1451" s="1203" t="s">
        <v>961</v>
      </c>
      <c r="C1451" s="1194"/>
      <c r="D1451" s="1194"/>
      <c r="E1451" s="1194"/>
      <c r="F1451" s="1194">
        <v>151509000</v>
      </c>
      <c r="G1451" s="1194"/>
      <c r="H1451" s="1194"/>
      <c r="I1451" s="1194"/>
      <c r="J1451" s="1194"/>
      <c r="K1451" s="1194"/>
      <c r="L1451" s="1202"/>
      <c r="M1451" s="1202"/>
      <c r="N1451" s="1202"/>
      <c r="O1451" s="1202"/>
      <c r="P1451" s="1202"/>
      <c r="Q1451" s="1202"/>
      <c r="R1451" s="1110"/>
      <c r="S1451" s="1160"/>
      <c r="T1451" s="1160"/>
      <c r="U1451" s="1160"/>
      <c r="V1451" s="1160"/>
      <c r="W1451" s="1160"/>
      <c r="X1451" s="1160"/>
      <c r="Y1451" s="1160"/>
      <c r="Z1451" s="1160"/>
      <c r="AA1451" s="1160"/>
      <c r="AB1451" s="1160"/>
      <c r="AC1451" s="1160"/>
      <c r="AD1451" s="1160"/>
      <c r="AE1451" s="1160"/>
      <c r="AF1451" s="1160"/>
      <c r="AG1451" s="1160"/>
      <c r="AH1451" s="1160"/>
      <c r="AI1451" s="1160"/>
      <c r="AJ1451" s="1160"/>
      <c r="AK1451" s="1160"/>
      <c r="AL1451" s="1160"/>
      <c r="AM1451" s="1160"/>
      <c r="AN1451" s="1160"/>
      <c r="AO1451" s="1160"/>
      <c r="AP1451" s="1160"/>
      <c r="AQ1451" s="1160"/>
      <c r="AR1451" s="1160"/>
      <c r="AS1451" s="1160"/>
      <c r="AT1451" s="1160"/>
      <c r="AU1451" s="1160"/>
      <c r="AV1451" s="1160"/>
      <c r="AW1451" s="1160"/>
      <c r="AX1451" s="1160"/>
      <c r="AY1451" s="1160"/>
      <c r="AZ1451" s="1160"/>
      <c r="BA1451" s="1160"/>
      <c r="BB1451" s="1160"/>
      <c r="BC1451" s="1160"/>
      <c r="BD1451" s="1160"/>
      <c r="BE1451" s="1160"/>
      <c r="BF1451" s="1160"/>
      <c r="BG1451" s="1160"/>
      <c r="BH1451" s="1160"/>
      <c r="BI1451" s="1160"/>
      <c r="BJ1451" s="1160"/>
      <c r="BK1451" s="1160"/>
      <c r="BL1451" s="1160"/>
      <c r="BM1451" s="1160"/>
      <c r="BN1451" s="1160"/>
      <c r="BO1451" s="1160"/>
      <c r="BP1451" s="1160"/>
      <c r="BQ1451" s="1160"/>
      <c r="BR1451" s="1160"/>
      <c r="BS1451" s="1160"/>
      <c r="BT1451" s="1160"/>
    </row>
    <row r="1452" spans="1:72" s="290" customFormat="1" ht="16.350000000000001" customHeight="1" outlineLevel="2" collapsed="1">
      <c r="A1452" s="1105"/>
      <c r="B1452" s="1203" t="s">
        <v>962</v>
      </c>
      <c r="C1452" s="1194"/>
      <c r="D1452" s="1194"/>
      <c r="E1452" s="1194"/>
      <c r="F1452" s="1194">
        <v>0</v>
      </c>
      <c r="G1452" s="1194">
        <v>1734191000</v>
      </c>
      <c r="H1452" s="1194">
        <v>0</v>
      </c>
      <c r="I1452" s="1194"/>
      <c r="J1452" s="1194"/>
      <c r="K1452" s="1194"/>
      <c r="L1452" s="1202"/>
      <c r="M1452" s="1202"/>
      <c r="N1452" s="1202"/>
      <c r="O1452" s="1202"/>
      <c r="P1452" s="1202"/>
      <c r="Q1452" s="1202"/>
      <c r="R1452" s="1110"/>
      <c r="S1452" s="1160"/>
      <c r="T1452" s="1160"/>
      <c r="U1452" s="1160"/>
      <c r="V1452" s="1160"/>
      <c r="W1452" s="1160"/>
      <c r="X1452" s="1160"/>
      <c r="Y1452" s="1160"/>
      <c r="Z1452" s="1160"/>
      <c r="AA1452" s="1160"/>
      <c r="AB1452" s="1160"/>
      <c r="AC1452" s="1160"/>
      <c r="AD1452" s="1160"/>
      <c r="AE1452" s="1160"/>
      <c r="AF1452" s="1160"/>
      <c r="AG1452" s="1160"/>
      <c r="AH1452" s="1160"/>
      <c r="AI1452" s="1160"/>
      <c r="AJ1452" s="1160"/>
      <c r="AK1452" s="1160"/>
      <c r="AL1452" s="1160"/>
      <c r="AM1452" s="1160"/>
      <c r="AN1452" s="1160"/>
      <c r="AO1452" s="1160"/>
      <c r="AP1452" s="1160"/>
      <c r="AQ1452" s="1160"/>
      <c r="AR1452" s="1160"/>
      <c r="AS1452" s="1160"/>
      <c r="AT1452" s="1160"/>
      <c r="AU1452" s="1160"/>
      <c r="AV1452" s="1160"/>
      <c r="AW1452" s="1160"/>
      <c r="AX1452" s="1160"/>
      <c r="AY1452" s="1160"/>
      <c r="AZ1452" s="1160"/>
      <c r="BA1452" s="1160"/>
      <c r="BB1452" s="1160"/>
      <c r="BC1452" s="1160"/>
      <c r="BD1452" s="1160"/>
      <c r="BE1452" s="1160"/>
      <c r="BF1452" s="1160"/>
      <c r="BG1452" s="1160"/>
      <c r="BH1452" s="1160"/>
      <c r="BI1452" s="1160"/>
      <c r="BJ1452" s="1160"/>
      <c r="BK1452" s="1160"/>
      <c r="BL1452" s="1160"/>
      <c r="BM1452" s="1160"/>
      <c r="BN1452" s="1160"/>
      <c r="BO1452" s="1160"/>
      <c r="BP1452" s="1160"/>
      <c r="BQ1452" s="1160"/>
      <c r="BR1452" s="1160"/>
      <c r="BS1452" s="1160"/>
      <c r="BT1452" s="1160"/>
    </row>
    <row r="1453" spans="1:72" s="290" customFormat="1" ht="16.350000000000001" customHeight="1" outlineLevel="2" collapsed="1">
      <c r="A1453" s="1105"/>
      <c r="B1453" s="1203" t="s">
        <v>963</v>
      </c>
      <c r="C1453" s="1194"/>
      <c r="D1453" s="1194"/>
      <c r="E1453" s="1194"/>
      <c r="F1453" s="1194"/>
      <c r="G1453" s="1194">
        <v>0</v>
      </c>
      <c r="H1453" s="1194">
        <v>1358000</v>
      </c>
      <c r="I1453" s="1194"/>
      <c r="J1453" s="1194"/>
      <c r="K1453" s="1194"/>
      <c r="L1453" s="1202"/>
      <c r="M1453" s="1202"/>
      <c r="N1453" s="1202"/>
      <c r="O1453" s="1202"/>
      <c r="P1453" s="1202"/>
      <c r="Q1453" s="1202"/>
      <c r="R1453" s="1110"/>
      <c r="S1453" s="1160"/>
      <c r="T1453" s="1160"/>
      <c r="U1453" s="1160"/>
      <c r="V1453" s="1160"/>
      <c r="W1453" s="1160"/>
      <c r="X1453" s="1160"/>
      <c r="Y1453" s="1160"/>
      <c r="Z1453" s="1160"/>
      <c r="AA1453" s="1160"/>
      <c r="AB1453" s="1160"/>
      <c r="AC1453" s="1160"/>
      <c r="AD1453" s="1160"/>
      <c r="AE1453" s="1160"/>
      <c r="AF1453" s="1160"/>
      <c r="AG1453" s="1160"/>
      <c r="AH1453" s="1160"/>
      <c r="AI1453" s="1160"/>
      <c r="AJ1453" s="1160"/>
      <c r="AK1453" s="1160"/>
      <c r="AL1453" s="1160"/>
      <c r="AM1453" s="1160"/>
      <c r="AN1453" s="1160"/>
      <c r="AO1453" s="1160"/>
      <c r="AP1453" s="1160"/>
      <c r="AQ1453" s="1160"/>
      <c r="AR1453" s="1160"/>
      <c r="AS1453" s="1160"/>
      <c r="AT1453" s="1160"/>
      <c r="AU1453" s="1160"/>
      <c r="AV1453" s="1160"/>
      <c r="AW1453" s="1160"/>
      <c r="AX1453" s="1160"/>
      <c r="AY1453" s="1160"/>
      <c r="AZ1453" s="1160"/>
      <c r="BA1453" s="1160"/>
      <c r="BB1453" s="1160"/>
      <c r="BC1453" s="1160"/>
      <c r="BD1453" s="1160"/>
      <c r="BE1453" s="1160"/>
      <c r="BF1453" s="1160"/>
      <c r="BG1453" s="1160"/>
      <c r="BH1453" s="1160"/>
      <c r="BI1453" s="1160"/>
      <c r="BJ1453" s="1160"/>
      <c r="BK1453" s="1160"/>
      <c r="BL1453" s="1160"/>
      <c r="BM1453" s="1160"/>
      <c r="BN1453" s="1160"/>
      <c r="BO1453" s="1160"/>
      <c r="BP1453" s="1160"/>
      <c r="BQ1453" s="1160"/>
      <c r="BR1453" s="1160"/>
      <c r="BS1453" s="1160"/>
      <c r="BT1453" s="1160"/>
    </row>
    <row r="1454" spans="1:72" s="290" customFormat="1" ht="16.350000000000001" customHeight="1" outlineLevel="2" collapsed="1">
      <c r="A1454" s="1105"/>
      <c r="B1454" s="1181" t="s">
        <v>964</v>
      </c>
      <c r="C1454" s="1194"/>
      <c r="D1454" s="1194">
        <v>301375000</v>
      </c>
      <c r="E1454" s="1194">
        <v>37098000</v>
      </c>
      <c r="F1454" s="1194">
        <v>628839000</v>
      </c>
      <c r="G1454" s="1194">
        <v>549386000</v>
      </c>
      <c r="H1454" s="1194">
        <v>377503000</v>
      </c>
      <c r="I1454" s="1194"/>
      <c r="J1454" s="1194"/>
      <c r="K1454" s="1194"/>
      <c r="L1454" s="1202"/>
      <c r="M1454" s="1202"/>
      <c r="N1454" s="1202"/>
      <c r="O1454" s="1202"/>
      <c r="P1454" s="1202"/>
      <c r="Q1454" s="1202"/>
      <c r="R1454" s="1110"/>
      <c r="S1454" s="1160"/>
      <c r="T1454" s="1160"/>
      <c r="U1454" s="1160"/>
      <c r="V1454" s="1160"/>
      <c r="W1454" s="1160"/>
      <c r="X1454" s="1160"/>
      <c r="Y1454" s="1160"/>
      <c r="Z1454" s="1160"/>
      <c r="AA1454" s="1160"/>
      <c r="AB1454" s="1160"/>
      <c r="AC1454" s="1160"/>
      <c r="AD1454" s="1160"/>
      <c r="AE1454" s="1160"/>
      <c r="AF1454" s="1160"/>
      <c r="AG1454" s="1160"/>
      <c r="AH1454" s="1160"/>
      <c r="AI1454" s="1160"/>
      <c r="AJ1454" s="1160"/>
      <c r="AK1454" s="1160"/>
      <c r="AL1454" s="1160"/>
      <c r="AM1454" s="1160"/>
      <c r="AN1454" s="1160"/>
      <c r="AO1454" s="1160"/>
      <c r="AP1454" s="1160"/>
      <c r="AQ1454" s="1160"/>
      <c r="AR1454" s="1160"/>
      <c r="AS1454" s="1160"/>
      <c r="AT1454" s="1160"/>
      <c r="AU1454" s="1160"/>
      <c r="AV1454" s="1160"/>
      <c r="AW1454" s="1160"/>
      <c r="AX1454" s="1160"/>
      <c r="AY1454" s="1160"/>
      <c r="AZ1454" s="1160"/>
      <c r="BA1454" s="1160"/>
      <c r="BB1454" s="1160"/>
      <c r="BC1454" s="1160"/>
      <c r="BD1454" s="1160"/>
      <c r="BE1454" s="1160"/>
      <c r="BF1454" s="1160"/>
      <c r="BG1454" s="1160"/>
      <c r="BH1454" s="1160"/>
      <c r="BI1454" s="1160"/>
      <c r="BJ1454" s="1160"/>
      <c r="BK1454" s="1160"/>
      <c r="BL1454" s="1160"/>
      <c r="BM1454" s="1160"/>
      <c r="BN1454" s="1160"/>
      <c r="BO1454" s="1160"/>
      <c r="BP1454" s="1160"/>
      <c r="BQ1454" s="1160"/>
      <c r="BR1454" s="1160"/>
      <c r="BS1454" s="1160"/>
      <c r="BT1454" s="1160"/>
    </row>
    <row r="1455" spans="1:72" s="290" customFormat="1" ht="16.350000000000001" customHeight="1" outlineLevel="2">
      <c r="A1455" s="1105"/>
      <c r="B1455" s="1121" t="s">
        <v>169</v>
      </c>
      <c r="C1455" s="1206"/>
      <c r="D1455" s="1206">
        <v>62340000</v>
      </c>
      <c r="E1455" s="1206">
        <v>55423000</v>
      </c>
      <c r="F1455" s="1206"/>
      <c r="G1455" s="1206"/>
      <c r="H1455" s="1206"/>
      <c r="I1455" s="1206"/>
      <c r="J1455" s="1206"/>
      <c r="K1455" s="1206"/>
      <c r="L1455" s="1202"/>
      <c r="M1455" s="1202"/>
      <c r="N1455" s="1202"/>
      <c r="O1455" s="1202"/>
      <c r="P1455" s="1202"/>
      <c r="Q1455" s="1202"/>
      <c r="R1455" s="1110"/>
      <c r="S1455" s="1160"/>
      <c r="T1455" s="1160"/>
      <c r="U1455" s="1160"/>
      <c r="V1455" s="1160"/>
      <c r="W1455" s="1160"/>
      <c r="X1455" s="1160"/>
      <c r="Y1455" s="1160"/>
      <c r="Z1455" s="1160"/>
      <c r="AA1455" s="1160"/>
      <c r="AB1455" s="1160"/>
      <c r="AC1455" s="1160"/>
      <c r="AD1455" s="1160"/>
      <c r="AE1455" s="1160"/>
      <c r="AF1455" s="1160"/>
      <c r="AG1455" s="1160"/>
      <c r="AH1455" s="1160"/>
      <c r="AI1455" s="1160"/>
      <c r="AJ1455" s="1160"/>
      <c r="AK1455" s="1160"/>
      <c r="AL1455" s="1160"/>
      <c r="AM1455" s="1160"/>
      <c r="AN1455" s="1160"/>
      <c r="AO1455" s="1160"/>
      <c r="AP1455" s="1160"/>
      <c r="AQ1455" s="1160"/>
      <c r="AR1455" s="1160"/>
      <c r="AS1455" s="1160"/>
      <c r="AT1455" s="1160"/>
      <c r="AU1455" s="1160"/>
      <c r="AV1455" s="1160"/>
      <c r="AW1455" s="1160"/>
      <c r="AX1455" s="1160"/>
      <c r="AY1455" s="1160"/>
      <c r="AZ1455" s="1160"/>
      <c r="BA1455" s="1160"/>
      <c r="BB1455" s="1160"/>
      <c r="BC1455" s="1160"/>
      <c r="BD1455" s="1160"/>
      <c r="BE1455" s="1160"/>
      <c r="BF1455" s="1160"/>
      <c r="BG1455" s="1160"/>
      <c r="BH1455" s="1160"/>
      <c r="BI1455" s="1160"/>
      <c r="BJ1455" s="1160"/>
      <c r="BK1455" s="1160"/>
      <c r="BL1455" s="1160"/>
      <c r="BM1455" s="1160"/>
      <c r="BN1455" s="1160"/>
      <c r="BO1455" s="1160"/>
      <c r="BP1455" s="1160"/>
      <c r="BQ1455" s="1160"/>
      <c r="BR1455" s="1160"/>
      <c r="BS1455" s="1160"/>
      <c r="BT1455" s="1160"/>
    </row>
    <row r="1456" spans="1:72" s="266" customFormat="1" ht="16.350000000000001" customHeight="1" outlineLevel="1">
      <c r="A1456" s="1105"/>
      <c r="B1456" s="1177" t="s">
        <v>929</v>
      </c>
      <c r="C1456" s="1178"/>
      <c r="D1456" s="1178">
        <v>235612997000</v>
      </c>
      <c r="E1456" s="1178">
        <v>158057390000</v>
      </c>
      <c r="F1456" s="1178">
        <f t="shared" ref="F1456:K1456" si="166">F1418+F1423+F1426+F1432+F1433+F1434+F1435+F1437</f>
        <v>165712966000</v>
      </c>
      <c r="G1456" s="1178">
        <f t="shared" si="166"/>
        <v>166642595000</v>
      </c>
      <c r="H1456" s="1179">
        <f t="shared" si="166"/>
        <v>146081870000</v>
      </c>
      <c r="I1456" s="1179">
        <f t="shared" si="166"/>
        <v>96114591000</v>
      </c>
      <c r="J1456" s="1179">
        <f t="shared" si="166"/>
        <v>76886727000</v>
      </c>
      <c r="K1456" s="1179">
        <f t="shared" si="166"/>
        <v>46668471000</v>
      </c>
      <c r="L1456" s="1180"/>
      <c r="M1456" s="1180"/>
      <c r="N1456" s="1180"/>
      <c r="O1456" s="1180"/>
      <c r="P1456" s="1180"/>
      <c r="Q1456" s="1180"/>
      <c r="R1456" s="1110"/>
    </row>
    <row r="1457" spans="1:72" s="419" customFormat="1" ht="16.350000000000001" customHeight="1" outlineLevel="1">
      <c r="A1457" s="1105"/>
      <c r="B1457" s="1184"/>
      <c r="C1457" s="1194"/>
      <c r="D1457" s="1194"/>
      <c r="E1457" s="1194"/>
      <c r="F1457" s="1194"/>
      <c r="G1457" s="1194"/>
      <c r="H1457" s="1194"/>
      <c r="I1457" s="1194"/>
      <c r="J1457" s="1194"/>
      <c r="K1457" s="1194"/>
      <c r="L1457" s="1194"/>
      <c r="M1457" s="1194"/>
      <c r="N1457" s="1194"/>
      <c r="O1457" s="1194"/>
      <c r="P1457" s="1194"/>
      <c r="Q1457" s="1194"/>
      <c r="R1457" s="1110"/>
      <c r="S1457" s="1120"/>
      <c r="T1457" s="1120"/>
      <c r="U1457" s="1120"/>
      <c r="V1457" s="1120"/>
      <c r="W1457" s="1120"/>
      <c r="X1457" s="1120"/>
      <c r="Y1457" s="1120"/>
      <c r="Z1457" s="1120"/>
      <c r="AA1457" s="1120"/>
      <c r="AB1457" s="1120"/>
      <c r="AC1457" s="1120"/>
      <c r="AD1457" s="1120"/>
      <c r="AE1457" s="1120"/>
      <c r="AF1457" s="1120"/>
      <c r="AG1457" s="1120"/>
      <c r="AH1457" s="1120"/>
      <c r="AI1457" s="1120"/>
      <c r="AJ1457" s="1120"/>
      <c r="AK1457" s="1120"/>
      <c r="AL1457" s="1120"/>
      <c r="AM1457" s="1120"/>
      <c r="AN1457" s="1120"/>
      <c r="AO1457" s="1120"/>
      <c r="AP1457" s="1120"/>
      <c r="AQ1457" s="1120"/>
      <c r="AR1457" s="1120"/>
      <c r="AS1457" s="1120"/>
      <c r="AT1457" s="1120"/>
      <c r="AU1457" s="1120"/>
      <c r="AV1457" s="1120"/>
      <c r="AW1457" s="1120"/>
      <c r="AX1457" s="1120"/>
      <c r="AY1457" s="1120"/>
      <c r="AZ1457" s="1120"/>
      <c r="BA1457" s="1120"/>
      <c r="BB1457" s="1120"/>
      <c r="BC1457" s="1120"/>
      <c r="BD1457" s="1120"/>
      <c r="BE1457" s="1120"/>
      <c r="BF1457" s="1120"/>
      <c r="BG1457" s="1120"/>
    </row>
    <row r="1458" spans="1:72" s="1191" customFormat="1" ht="16.350000000000001" customHeight="1" outlineLevel="1">
      <c r="A1458" s="1105"/>
      <c r="B1458" s="1188" t="s">
        <v>965</v>
      </c>
      <c r="C1458" s="1207"/>
      <c r="D1458" s="1207">
        <v>358283782000</v>
      </c>
      <c r="E1458" s="1207">
        <v>267017808000</v>
      </c>
      <c r="F1458" s="1207">
        <f t="shared" ref="F1458:K1458" si="167">F1415+F1456</f>
        <v>258838518000</v>
      </c>
      <c r="G1458" s="1207">
        <f t="shared" si="167"/>
        <v>239052377000</v>
      </c>
      <c r="H1458" s="1207">
        <f t="shared" si="167"/>
        <v>201109713000</v>
      </c>
      <c r="I1458" s="1207">
        <f t="shared" si="167"/>
        <v>142018415000</v>
      </c>
      <c r="J1458" s="1207">
        <f t="shared" si="167"/>
        <v>121292541000</v>
      </c>
      <c r="K1458" s="1207">
        <f t="shared" si="167"/>
        <v>96686106000</v>
      </c>
      <c r="L1458" s="1207"/>
      <c r="M1458" s="1207"/>
      <c r="N1458" s="1207"/>
      <c r="O1458" s="1207"/>
      <c r="P1458" s="1207"/>
      <c r="Q1458" s="1207"/>
      <c r="R1458" s="1110"/>
      <c r="S1458" s="1190"/>
      <c r="T1458" s="1190"/>
      <c r="U1458" s="1190"/>
      <c r="V1458" s="1190"/>
      <c r="W1458" s="1190"/>
      <c r="X1458" s="1190"/>
      <c r="Y1458" s="1190"/>
      <c r="Z1458" s="1190"/>
      <c r="AA1458" s="1190"/>
      <c r="AB1458" s="1190"/>
      <c r="AC1458" s="1190"/>
      <c r="AD1458" s="1190"/>
      <c r="AE1458" s="1190"/>
      <c r="AF1458" s="1190"/>
      <c r="AG1458" s="1190"/>
      <c r="AH1458" s="1190"/>
      <c r="AI1458" s="1190"/>
      <c r="AJ1458" s="1190"/>
      <c r="AK1458" s="1190"/>
      <c r="AL1458" s="1190"/>
      <c r="AM1458" s="1190"/>
      <c r="AN1458" s="1190"/>
      <c r="AO1458" s="1190"/>
      <c r="AP1458" s="1190"/>
      <c r="AQ1458" s="1190"/>
      <c r="AR1458" s="1190"/>
      <c r="AS1458" s="1190"/>
      <c r="AT1458" s="1190"/>
      <c r="AU1458" s="1190"/>
      <c r="AV1458" s="1190"/>
      <c r="AW1458" s="1190"/>
      <c r="AX1458" s="1190"/>
      <c r="AY1458" s="1190"/>
      <c r="AZ1458" s="1190"/>
      <c r="BA1458" s="1190"/>
      <c r="BB1458" s="1190"/>
      <c r="BC1458" s="1190"/>
      <c r="BD1458" s="1190"/>
      <c r="BE1458" s="1190"/>
      <c r="BF1458" s="1190"/>
      <c r="BG1458" s="1190"/>
    </row>
    <row r="1459" spans="1:72" s="1125" customFormat="1" ht="16.350000000000001" customHeight="1" outlineLevel="1">
      <c r="A1459" s="1105"/>
      <c r="B1459" s="1204"/>
      <c r="C1459" s="1117"/>
      <c r="D1459" s="1117"/>
      <c r="E1459" s="1117"/>
      <c r="F1459" s="1117"/>
      <c r="G1459" s="1117"/>
      <c r="H1459" s="1117"/>
      <c r="I1459" s="1117"/>
      <c r="J1459" s="1117"/>
      <c r="K1459" s="1117"/>
      <c r="L1459" s="1205"/>
      <c r="M1459" s="1205"/>
      <c r="N1459" s="1205"/>
      <c r="O1459" s="1205"/>
      <c r="P1459" s="1205"/>
      <c r="Q1459" s="1205"/>
      <c r="R1459" s="1110"/>
      <c r="S1459" s="1124"/>
      <c r="T1459" s="1124"/>
      <c r="U1459" s="1124"/>
      <c r="V1459" s="1124"/>
      <c r="W1459" s="1124"/>
      <c r="X1459" s="1124"/>
      <c r="Y1459" s="1124"/>
      <c r="Z1459" s="1124"/>
      <c r="AA1459" s="1124"/>
      <c r="AB1459" s="1124"/>
      <c r="AC1459" s="1124"/>
      <c r="AD1459" s="1124"/>
      <c r="AE1459" s="1124"/>
      <c r="AF1459" s="1124"/>
      <c r="AG1459" s="1124"/>
      <c r="AH1459" s="1124"/>
      <c r="AI1459" s="1124"/>
      <c r="AJ1459" s="1124"/>
      <c r="AK1459" s="1124"/>
      <c r="AL1459" s="1124"/>
      <c r="AM1459" s="1124"/>
      <c r="AN1459" s="1124"/>
      <c r="AO1459" s="1124"/>
      <c r="AP1459" s="1124"/>
      <c r="AQ1459" s="1124"/>
      <c r="AR1459" s="1124"/>
      <c r="AS1459" s="1124"/>
      <c r="AT1459" s="1124"/>
      <c r="AU1459" s="1124"/>
      <c r="AV1459" s="1124"/>
      <c r="AW1459" s="1124"/>
      <c r="AX1459" s="1124"/>
      <c r="AY1459" s="1124"/>
      <c r="AZ1459" s="1124"/>
      <c r="BA1459" s="1124"/>
      <c r="BB1459" s="1124"/>
      <c r="BC1459" s="1124"/>
      <c r="BD1459" s="1124"/>
      <c r="BE1459" s="1124"/>
      <c r="BF1459" s="1124"/>
      <c r="BG1459" s="1124"/>
      <c r="BH1459" s="1124"/>
      <c r="BI1459" s="1124"/>
      <c r="BJ1459" s="1124"/>
      <c r="BK1459" s="1124"/>
      <c r="BL1459" s="1124"/>
      <c r="BM1459" s="1124"/>
      <c r="BN1459" s="1124"/>
      <c r="BO1459" s="1124"/>
      <c r="BP1459" s="1124"/>
      <c r="BQ1459" s="1124"/>
      <c r="BR1459" s="1124"/>
      <c r="BS1459" s="1124"/>
      <c r="BT1459" s="1124"/>
    </row>
    <row r="1460" spans="1:72" s="419" customFormat="1" ht="16.350000000000001" customHeight="1" outlineLevel="1">
      <c r="A1460" s="1105"/>
      <c r="B1460" s="1208" t="s">
        <v>81</v>
      </c>
      <c r="C1460" s="1209"/>
      <c r="D1460" s="1209"/>
      <c r="E1460" s="1209"/>
      <c r="F1460" s="1209"/>
      <c r="G1460" s="1209"/>
      <c r="H1460" s="1210"/>
      <c r="I1460" s="1210"/>
      <c r="J1460" s="1210"/>
      <c r="K1460" s="1210"/>
      <c r="L1460" s="1210"/>
      <c r="M1460" s="1210"/>
      <c r="N1460" s="1210"/>
      <c r="O1460" s="1210"/>
      <c r="P1460" s="1210"/>
      <c r="Q1460" s="1210"/>
      <c r="R1460" s="1110"/>
      <c r="S1460" s="1120"/>
      <c r="T1460" s="1120"/>
      <c r="U1460" s="1120"/>
      <c r="V1460" s="1120"/>
      <c r="W1460" s="1120"/>
      <c r="X1460" s="1120"/>
      <c r="Y1460" s="1120"/>
      <c r="Z1460" s="1120"/>
      <c r="AA1460" s="1120"/>
      <c r="AB1460" s="1120"/>
      <c r="AC1460" s="1120"/>
      <c r="AD1460" s="1120"/>
      <c r="AE1460" s="1120"/>
      <c r="AF1460" s="1120"/>
      <c r="AG1460" s="1120"/>
      <c r="AH1460" s="1120"/>
      <c r="AI1460" s="1120"/>
      <c r="AJ1460" s="1120"/>
      <c r="AK1460" s="1120"/>
      <c r="AL1460" s="1120"/>
      <c r="AM1460" s="1120"/>
      <c r="AN1460" s="1120"/>
      <c r="AO1460" s="1120"/>
      <c r="AP1460" s="1120"/>
      <c r="AQ1460" s="1120"/>
      <c r="AR1460" s="1120"/>
      <c r="AS1460" s="1120"/>
      <c r="AT1460" s="1120"/>
      <c r="AU1460" s="1120"/>
      <c r="AV1460" s="1120"/>
      <c r="AW1460" s="1120"/>
      <c r="AX1460" s="1120"/>
      <c r="AY1460" s="1120"/>
      <c r="AZ1460" s="1120"/>
      <c r="BA1460" s="1120"/>
      <c r="BB1460" s="1120"/>
      <c r="BC1460" s="1120"/>
      <c r="BD1460" s="1120"/>
      <c r="BE1460" s="1120"/>
      <c r="BF1460" s="1120"/>
      <c r="BG1460" s="1120"/>
    </row>
    <row r="1461" spans="1:72" s="290" customFormat="1" ht="16.350000000000001" customHeight="1" outlineLevel="1">
      <c r="A1461" s="1105"/>
      <c r="B1461" s="1158" t="s">
        <v>966</v>
      </c>
      <c r="C1461" s="1194"/>
      <c r="D1461" s="1194">
        <v>1020000</v>
      </c>
      <c r="E1461" s="1194">
        <v>1020000</v>
      </c>
      <c r="F1461" s="1194">
        <v>946000</v>
      </c>
      <c r="G1461" s="1194">
        <v>946000</v>
      </c>
      <c r="H1461" s="1194">
        <v>946000</v>
      </c>
      <c r="I1461" s="1194">
        <v>946000</v>
      </c>
      <c r="J1461" s="1194">
        <v>946000</v>
      </c>
      <c r="K1461" s="1194">
        <v>946000</v>
      </c>
      <c r="L1461" s="1211"/>
      <c r="M1461" s="1211"/>
      <c r="N1461" s="1211"/>
      <c r="O1461" s="1211"/>
      <c r="P1461" s="1202"/>
      <c r="Q1461" s="1202"/>
      <c r="R1461" s="1110"/>
      <c r="S1461" s="1160"/>
      <c r="T1461" s="1160"/>
      <c r="U1461" s="1160"/>
      <c r="V1461" s="1160"/>
      <c r="W1461" s="1160"/>
      <c r="X1461" s="1160"/>
      <c r="Y1461" s="1160"/>
      <c r="Z1461" s="1160"/>
      <c r="AA1461" s="1160"/>
      <c r="AB1461" s="1160"/>
      <c r="AC1461" s="1160"/>
      <c r="AD1461" s="1160"/>
      <c r="AE1461" s="1160"/>
      <c r="AF1461" s="1160"/>
      <c r="AG1461" s="1160"/>
      <c r="AH1461" s="1160"/>
      <c r="AI1461" s="1160"/>
      <c r="AJ1461" s="1160"/>
      <c r="AK1461" s="1160"/>
      <c r="AL1461" s="1160"/>
      <c r="AM1461" s="1160"/>
      <c r="AN1461" s="1160"/>
      <c r="AO1461" s="1160"/>
      <c r="AP1461" s="1160"/>
      <c r="AQ1461" s="1160"/>
      <c r="AR1461" s="1160"/>
      <c r="AS1461" s="1160"/>
      <c r="AT1461" s="1160"/>
      <c r="AU1461" s="1160"/>
      <c r="AV1461" s="1160"/>
      <c r="AW1461" s="1160"/>
      <c r="AX1461" s="1160"/>
      <c r="AY1461" s="1160"/>
      <c r="AZ1461" s="1160"/>
      <c r="BA1461" s="1160"/>
      <c r="BB1461" s="1160"/>
      <c r="BC1461" s="1160"/>
      <c r="BD1461" s="1160"/>
      <c r="BE1461" s="1160"/>
      <c r="BF1461" s="1160"/>
      <c r="BG1461" s="1160"/>
      <c r="BH1461" s="1160"/>
      <c r="BI1461" s="1160"/>
      <c r="BJ1461" s="1160"/>
      <c r="BK1461" s="1160"/>
      <c r="BL1461" s="1160"/>
      <c r="BM1461" s="1160"/>
      <c r="BN1461" s="1160"/>
      <c r="BO1461" s="1160"/>
      <c r="BP1461" s="1160"/>
      <c r="BQ1461" s="1160"/>
      <c r="BR1461" s="1160"/>
      <c r="BS1461" s="1160"/>
      <c r="BT1461" s="1160"/>
    </row>
    <row r="1462" spans="1:72" s="1125" customFormat="1" ht="16.350000000000001" customHeight="1" outlineLevel="1">
      <c r="A1462" s="1105"/>
      <c r="B1462" s="1121" t="s">
        <v>967</v>
      </c>
      <c r="C1462" s="1194"/>
      <c r="D1462" s="1194">
        <v>87257340000</v>
      </c>
      <c r="E1462" s="1194">
        <v>87635960000</v>
      </c>
      <c r="F1462" s="1194">
        <v>42647372000</v>
      </c>
      <c r="G1462" s="1194">
        <f>H1462+G1463</f>
        <v>42559695000</v>
      </c>
      <c r="H1462" s="1194">
        <f>I1462+H1463</f>
        <v>42398776000</v>
      </c>
      <c r="I1462" s="1194">
        <f>J1462+I1463</f>
        <v>42023928000</v>
      </c>
      <c r="J1462" s="1194">
        <f>K1462+J1463</f>
        <v>41595237000</v>
      </c>
      <c r="K1462" s="1194">
        <f>26600682000+K1463+K1464+K1465</f>
        <v>41439871000</v>
      </c>
      <c r="L1462" s="1211"/>
      <c r="M1462" s="1211"/>
      <c r="N1462" s="1211"/>
      <c r="O1462" s="1211"/>
      <c r="P1462" s="1195"/>
      <c r="Q1462" s="1195"/>
      <c r="R1462" s="1110"/>
      <c r="S1462" s="1124"/>
      <c r="T1462" s="1124"/>
      <c r="U1462" s="1124"/>
      <c r="V1462" s="1124"/>
      <c r="W1462" s="1124"/>
      <c r="X1462" s="1124"/>
      <c r="Y1462" s="1124"/>
      <c r="Z1462" s="1124"/>
      <c r="AA1462" s="1124"/>
      <c r="AB1462" s="1124"/>
      <c r="AC1462" s="1124"/>
      <c r="AD1462" s="1124"/>
      <c r="AE1462" s="1124"/>
      <c r="AF1462" s="1124"/>
      <c r="AG1462" s="1124"/>
      <c r="AH1462" s="1124"/>
      <c r="AI1462" s="1124"/>
      <c r="AJ1462" s="1124"/>
      <c r="AK1462" s="1124"/>
      <c r="AL1462" s="1124"/>
      <c r="AM1462" s="1124"/>
      <c r="AN1462" s="1124"/>
      <c r="AO1462" s="1124"/>
      <c r="AP1462" s="1124"/>
      <c r="AQ1462" s="1124"/>
      <c r="AR1462" s="1124"/>
      <c r="AS1462" s="1124"/>
      <c r="AT1462" s="1124"/>
      <c r="AU1462" s="1124"/>
      <c r="AV1462" s="1124"/>
      <c r="AW1462" s="1124"/>
      <c r="AX1462" s="1124"/>
      <c r="AY1462" s="1124"/>
      <c r="AZ1462" s="1124"/>
      <c r="BA1462" s="1124"/>
      <c r="BB1462" s="1124"/>
      <c r="BC1462" s="1124"/>
      <c r="BD1462" s="1124"/>
      <c r="BE1462" s="1124"/>
      <c r="BF1462" s="1124"/>
      <c r="BG1462" s="1124"/>
      <c r="BH1462" s="1124"/>
      <c r="BI1462" s="1124"/>
      <c r="BJ1462" s="1124"/>
      <c r="BK1462" s="1124"/>
      <c r="BL1462" s="1124"/>
      <c r="BM1462" s="1124"/>
      <c r="BN1462" s="1124"/>
      <c r="BO1462" s="1124"/>
      <c r="BP1462" s="1124"/>
      <c r="BQ1462" s="1124"/>
      <c r="BR1462" s="1124"/>
      <c r="BS1462" s="1124"/>
      <c r="BT1462" s="1124"/>
    </row>
    <row r="1463" spans="1:72" s="290" customFormat="1" ht="16.350000000000001" customHeight="1" outlineLevel="2" collapsed="1">
      <c r="A1463" s="1105"/>
      <c r="B1463" s="1181" t="s">
        <v>968</v>
      </c>
      <c r="C1463" s="1194"/>
      <c r="D1463" s="1194"/>
      <c r="E1463" s="1194"/>
      <c r="F1463" s="1194">
        <v>87677000</v>
      </c>
      <c r="G1463" s="1194">
        <v>160919000</v>
      </c>
      <c r="H1463" s="1194">
        <v>374848000</v>
      </c>
      <c r="I1463" s="1194">
        <v>428691000</v>
      </c>
      <c r="J1463" s="1194">
        <v>155366000</v>
      </c>
      <c r="K1463" s="1194">
        <v>130000</v>
      </c>
      <c r="L1463" s="1211"/>
      <c r="M1463" s="1211"/>
      <c r="N1463" s="1211"/>
      <c r="O1463" s="1211"/>
      <c r="P1463" s="1202"/>
      <c r="Q1463" s="1202"/>
      <c r="R1463" s="1110"/>
      <c r="S1463" s="1160"/>
      <c r="T1463" s="1160"/>
      <c r="U1463" s="1160"/>
      <c r="V1463" s="1160"/>
      <c r="W1463" s="1160"/>
      <c r="X1463" s="1160"/>
      <c r="Y1463" s="1160"/>
      <c r="Z1463" s="1160"/>
      <c r="AA1463" s="1160"/>
      <c r="AB1463" s="1160"/>
      <c r="AC1463" s="1160"/>
      <c r="AD1463" s="1160"/>
      <c r="AE1463" s="1160"/>
      <c r="AF1463" s="1160"/>
      <c r="AG1463" s="1160"/>
      <c r="AH1463" s="1160"/>
      <c r="AI1463" s="1160"/>
      <c r="AJ1463" s="1160"/>
      <c r="AK1463" s="1160"/>
      <c r="AL1463" s="1160"/>
      <c r="AM1463" s="1160"/>
      <c r="AN1463" s="1160"/>
      <c r="AO1463" s="1160"/>
      <c r="AP1463" s="1160"/>
      <c r="AQ1463" s="1160"/>
      <c r="AR1463" s="1160"/>
      <c r="AS1463" s="1160"/>
      <c r="AT1463" s="1160"/>
      <c r="AU1463" s="1160"/>
      <c r="AV1463" s="1160"/>
      <c r="AW1463" s="1160"/>
      <c r="AX1463" s="1160"/>
      <c r="AY1463" s="1160"/>
      <c r="AZ1463" s="1160"/>
      <c r="BA1463" s="1160"/>
      <c r="BB1463" s="1160"/>
      <c r="BC1463" s="1160"/>
      <c r="BD1463" s="1160"/>
      <c r="BE1463" s="1160"/>
      <c r="BF1463" s="1160"/>
      <c r="BG1463" s="1160"/>
      <c r="BH1463" s="1160"/>
      <c r="BI1463" s="1160"/>
      <c r="BJ1463" s="1160"/>
      <c r="BK1463" s="1160"/>
      <c r="BL1463" s="1160"/>
      <c r="BM1463" s="1160"/>
      <c r="BN1463" s="1160"/>
      <c r="BO1463" s="1160"/>
      <c r="BP1463" s="1160"/>
      <c r="BQ1463" s="1160"/>
      <c r="BR1463" s="1160"/>
      <c r="BS1463" s="1160"/>
      <c r="BT1463" s="1160"/>
    </row>
    <row r="1464" spans="1:72" s="290" customFormat="1" ht="16.350000000000001" customHeight="1" outlineLevel="2">
      <c r="A1464" s="1105"/>
      <c r="B1464" s="1181" t="s">
        <v>969</v>
      </c>
      <c r="C1464" s="1194"/>
      <c r="D1464" s="1194"/>
      <c r="E1464" s="1194"/>
      <c r="F1464" s="1194">
        <v>0</v>
      </c>
      <c r="G1464" s="1194">
        <v>0</v>
      </c>
      <c r="H1464" s="1194">
        <v>0</v>
      </c>
      <c r="I1464" s="1194">
        <v>0</v>
      </c>
      <c r="J1464" s="1194">
        <v>0</v>
      </c>
      <c r="K1464" s="1194">
        <v>14865882000</v>
      </c>
      <c r="L1464" s="1211"/>
      <c r="M1464" s="1211"/>
      <c r="N1464" s="1211"/>
      <c r="O1464" s="1211"/>
      <c r="P1464" s="1202"/>
      <c r="Q1464" s="1202"/>
      <c r="R1464" s="1110"/>
      <c r="S1464" s="1160"/>
      <c r="T1464" s="1160"/>
      <c r="U1464" s="1160"/>
      <c r="V1464" s="1160"/>
      <c r="W1464" s="1160"/>
      <c r="X1464" s="1160"/>
      <c r="Y1464" s="1160"/>
      <c r="Z1464" s="1160"/>
      <c r="AA1464" s="1160"/>
      <c r="AB1464" s="1160"/>
      <c r="AC1464" s="1160"/>
      <c r="AD1464" s="1160"/>
      <c r="AE1464" s="1160"/>
      <c r="AF1464" s="1160"/>
      <c r="AG1464" s="1160"/>
      <c r="AH1464" s="1160"/>
      <c r="AI1464" s="1160"/>
      <c r="AJ1464" s="1160"/>
      <c r="AK1464" s="1160"/>
      <c r="AL1464" s="1160"/>
      <c r="AM1464" s="1160"/>
      <c r="AN1464" s="1160"/>
      <c r="AO1464" s="1160"/>
      <c r="AP1464" s="1160"/>
      <c r="AQ1464" s="1160"/>
      <c r="AR1464" s="1160"/>
      <c r="AS1464" s="1160"/>
      <c r="AT1464" s="1160"/>
      <c r="AU1464" s="1160"/>
      <c r="AV1464" s="1160"/>
      <c r="AW1464" s="1160"/>
      <c r="AX1464" s="1160"/>
      <c r="AY1464" s="1160"/>
      <c r="AZ1464" s="1160"/>
      <c r="BA1464" s="1160"/>
      <c r="BB1464" s="1160"/>
      <c r="BC1464" s="1160"/>
      <c r="BD1464" s="1160"/>
      <c r="BE1464" s="1160"/>
      <c r="BF1464" s="1160"/>
      <c r="BG1464" s="1160"/>
      <c r="BH1464" s="1160"/>
      <c r="BI1464" s="1160"/>
      <c r="BJ1464" s="1160"/>
      <c r="BK1464" s="1160"/>
      <c r="BL1464" s="1160"/>
      <c r="BM1464" s="1160"/>
      <c r="BN1464" s="1160"/>
      <c r="BO1464" s="1160"/>
      <c r="BP1464" s="1160"/>
      <c r="BQ1464" s="1160"/>
      <c r="BR1464" s="1160"/>
      <c r="BS1464" s="1160"/>
      <c r="BT1464" s="1160"/>
    </row>
    <row r="1465" spans="1:72" s="290" customFormat="1" ht="16.350000000000001" customHeight="1" outlineLevel="2">
      <c r="A1465" s="1105"/>
      <c r="B1465" s="1181" t="s">
        <v>970</v>
      </c>
      <c r="C1465" s="1194"/>
      <c r="D1465" s="1194"/>
      <c r="E1465" s="1194"/>
      <c r="F1465" s="1194">
        <v>0</v>
      </c>
      <c r="G1465" s="1194">
        <v>0</v>
      </c>
      <c r="H1465" s="1194">
        <v>0</v>
      </c>
      <c r="I1465" s="1194">
        <v>0</v>
      </c>
      <c r="J1465" s="1194">
        <v>0</v>
      </c>
      <c r="K1465" s="1194">
        <v>-26823000</v>
      </c>
      <c r="L1465" s="1211"/>
      <c r="M1465" s="1211"/>
      <c r="N1465" s="1211"/>
      <c r="O1465" s="1211"/>
      <c r="P1465" s="1202"/>
      <c r="Q1465" s="1202"/>
      <c r="R1465" s="1110"/>
      <c r="S1465" s="1160"/>
      <c r="T1465" s="1160"/>
      <c r="U1465" s="1160"/>
      <c r="V1465" s="1160"/>
      <c r="W1465" s="1160"/>
      <c r="X1465" s="1160"/>
      <c r="Y1465" s="1160"/>
      <c r="Z1465" s="1160"/>
      <c r="AA1465" s="1160"/>
      <c r="AB1465" s="1160"/>
      <c r="AC1465" s="1160"/>
      <c r="AD1465" s="1160"/>
      <c r="AE1465" s="1160"/>
      <c r="AF1465" s="1160"/>
      <c r="AG1465" s="1160"/>
      <c r="AH1465" s="1160"/>
      <c r="AI1465" s="1160"/>
      <c r="AJ1465" s="1160"/>
      <c r="AK1465" s="1160"/>
      <c r="AL1465" s="1160"/>
      <c r="AM1465" s="1160"/>
      <c r="AN1465" s="1160"/>
      <c r="AO1465" s="1160"/>
      <c r="AP1465" s="1160"/>
      <c r="AQ1465" s="1160"/>
      <c r="AR1465" s="1160"/>
      <c r="AS1465" s="1160"/>
      <c r="AT1465" s="1160"/>
      <c r="AU1465" s="1160"/>
      <c r="AV1465" s="1160"/>
      <c r="AW1465" s="1160"/>
      <c r="AX1465" s="1160"/>
      <c r="AY1465" s="1160"/>
      <c r="AZ1465" s="1160"/>
      <c r="BA1465" s="1160"/>
      <c r="BB1465" s="1160"/>
      <c r="BC1465" s="1160"/>
      <c r="BD1465" s="1160"/>
      <c r="BE1465" s="1160"/>
      <c r="BF1465" s="1160"/>
      <c r="BG1465" s="1160"/>
      <c r="BH1465" s="1160"/>
      <c r="BI1465" s="1160"/>
      <c r="BJ1465" s="1160"/>
      <c r="BK1465" s="1160"/>
      <c r="BL1465" s="1160"/>
      <c r="BM1465" s="1160"/>
      <c r="BN1465" s="1160"/>
      <c r="BO1465" s="1160"/>
      <c r="BP1465" s="1160"/>
      <c r="BQ1465" s="1160"/>
      <c r="BR1465" s="1160"/>
      <c r="BS1465" s="1160"/>
      <c r="BT1465" s="1160"/>
    </row>
    <row r="1466" spans="1:72" s="419" customFormat="1" ht="16.350000000000001" customHeight="1" outlineLevel="1">
      <c r="A1466" s="1105"/>
      <c r="B1466" s="1212" t="s">
        <v>971</v>
      </c>
      <c r="C1466" s="1194"/>
      <c r="D1466" s="1194">
        <v>-12051463000</v>
      </c>
      <c r="E1466" s="1194">
        <v>0</v>
      </c>
      <c r="F1466" s="1194">
        <v>0</v>
      </c>
      <c r="G1466" s="1194">
        <f>H1466+G1467+G1468</f>
        <v>-358553000</v>
      </c>
      <c r="H1466" s="1194">
        <f>I1466+H1467+H1468</f>
        <v>-500276000</v>
      </c>
      <c r="I1466" s="1194">
        <f>J1466+I1467+I1468</f>
        <v>-123359000</v>
      </c>
      <c r="J1466" s="1194">
        <f>K1466+J1467+J1468</f>
        <v>-550565000</v>
      </c>
      <c r="K1466" s="1194">
        <f>-85599000+K1467+K1468</f>
        <v>-145459000</v>
      </c>
      <c r="L1466" s="1211"/>
      <c r="M1466" s="1211"/>
      <c r="N1466" s="1211"/>
      <c r="O1466" s="1211"/>
      <c r="P1466" s="1194"/>
      <c r="Q1466" s="1194"/>
      <c r="R1466" s="1110"/>
      <c r="S1466" s="1120"/>
      <c r="T1466" s="1120"/>
      <c r="U1466" s="1120"/>
      <c r="V1466" s="1120"/>
      <c r="W1466" s="1120"/>
      <c r="X1466" s="1120"/>
      <c r="Y1466" s="1120"/>
      <c r="Z1466" s="1120"/>
      <c r="AA1466" s="1120"/>
      <c r="AB1466" s="1120"/>
      <c r="AC1466" s="1120"/>
      <c r="AD1466" s="1120"/>
      <c r="AE1466" s="1120"/>
      <c r="AF1466" s="1120"/>
      <c r="AG1466" s="1120"/>
      <c r="AH1466" s="1120"/>
      <c r="AI1466" s="1120"/>
      <c r="AJ1466" s="1120"/>
      <c r="AK1466" s="1120"/>
      <c r="AL1466" s="1120"/>
      <c r="AM1466" s="1120"/>
      <c r="AN1466" s="1120"/>
      <c r="AO1466" s="1120"/>
      <c r="AP1466" s="1120"/>
      <c r="AQ1466" s="1120"/>
      <c r="AR1466" s="1120"/>
      <c r="AS1466" s="1120"/>
      <c r="AT1466" s="1120"/>
      <c r="AU1466" s="1120"/>
      <c r="AV1466" s="1120"/>
      <c r="AW1466" s="1120"/>
      <c r="AX1466" s="1120"/>
      <c r="AY1466" s="1120"/>
      <c r="AZ1466" s="1120"/>
      <c r="BA1466" s="1120"/>
      <c r="BB1466" s="1120"/>
      <c r="BC1466" s="1120"/>
      <c r="BD1466" s="1120"/>
      <c r="BE1466" s="1120"/>
      <c r="BF1466" s="1120"/>
      <c r="BG1466" s="1120"/>
      <c r="BH1466" s="1120"/>
      <c r="BI1466" s="1120"/>
      <c r="BJ1466" s="1120"/>
      <c r="BK1466" s="1120"/>
      <c r="BL1466" s="1120"/>
      <c r="BM1466" s="1120"/>
      <c r="BN1466" s="1120"/>
      <c r="BO1466" s="1120"/>
      <c r="BP1466" s="1120"/>
      <c r="BQ1466" s="1120"/>
      <c r="BR1466" s="1120"/>
      <c r="BS1466" s="1120"/>
      <c r="BT1466" s="1120"/>
    </row>
    <row r="1467" spans="1:72" s="290" customFormat="1" ht="16.350000000000001" customHeight="1" outlineLevel="2" collapsed="1">
      <c r="A1467" s="1105"/>
      <c r="B1467" s="1181" t="s">
        <v>972</v>
      </c>
      <c r="C1467" s="1194"/>
      <c r="D1467" s="1194"/>
      <c r="E1467" s="1194"/>
      <c r="F1467" s="1194">
        <v>-3243483000</v>
      </c>
      <c r="G1467" s="1194">
        <v>-8720045000</v>
      </c>
      <c r="H1467" s="1194">
        <v>-16059430000</v>
      </c>
      <c r="I1467" s="1194">
        <v>-1200522000</v>
      </c>
      <c r="J1467" s="1194">
        <v>-919885000</v>
      </c>
      <c r="K1467" s="1194">
        <v>-59902000</v>
      </c>
      <c r="L1467" s="1211"/>
      <c r="M1467" s="1211"/>
      <c r="N1467" s="1211"/>
      <c r="O1467" s="1211"/>
      <c r="P1467" s="1202"/>
      <c r="Q1467" s="1202"/>
      <c r="R1467" s="1110"/>
      <c r="S1467" s="1160"/>
      <c r="T1467" s="1160"/>
      <c r="U1467" s="1160"/>
      <c r="V1467" s="1160"/>
      <c r="W1467" s="1160"/>
      <c r="X1467" s="1160"/>
      <c r="Y1467" s="1160"/>
      <c r="Z1467" s="1160"/>
      <c r="AA1467" s="1160"/>
      <c r="AB1467" s="1160"/>
      <c r="AC1467" s="1160"/>
      <c r="AD1467" s="1160"/>
      <c r="AE1467" s="1160"/>
      <c r="AF1467" s="1160"/>
      <c r="AG1467" s="1160"/>
      <c r="AH1467" s="1160"/>
      <c r="AI1467" s="1160"/>
      <c r="AJ1467" s="1160"/>
      <c r="AK1467" s="1160"/>
      <c r="AL1467" s="1160"/>
      <c r="AM1467" s="1160"/>
      <c r="AN1467" s="1160"/>
      <c r="AO1467" s="1160"/>
      <c r="AP1467" s="1160"/>
      <c r="AQ1467" s="1160"/>
      <c r="AR1467" s="1160"/>
      <c r="AS1467" s="1160"/>
      <c r="AT1467" s="1160"/>
      <c r="AU1467" s="1160"/>
      <c r="AV1467" s="1160"/>
      <c r="AW1467" s="1160"/>
      <c r="AX1467" s="1160"/>
      <c r="AY1467" s="1160"/>
      <c r="AZ1467" s="1160"/>
      <c r="BA1467" s="1160"/>
      <c r="BB1467" s="1160"/>
      <c r="BC1467" s="1160"/>
      <c r="BD1467" s="1160"/>
      <c r="BE1467" s="1160"/>
      <c r="BF1467" s="1160"/>
      <c r="BG1467" s="1160"/>
      <c r="BH1467" s="1160"/>
      <c r="BI1467" s="1160"/>
      <c r="BJ1467" s="1160"/>
      <c r="BK1467" s="1160"/>
      <c r="BL1467" s="1160"/>
      <c r="BM1467" s="1160"/>
      <c r="BN1467" s="1160"/>
      <c r="BO1467" s="1160"/>
      <c r="BP1467" s="1160"/>
      <c r="BQ1467" s="1160"/>
      <c r="BR1467" s="1160"/>
      <c r="BS1467" s="1160"/>
      <c r="BT1467" s="1160"/>
    </row>
    <row r="1468" spans="1:72" s="290" customFormat="1" ht="16.350000000000001" customHeight="1" outlineLevel="2" collapsed="1">
      <c r="A1468" s="1105"/>
      <c r="B1468" s="1181" t="s">
        <v>968</v>
      </c>
      <c r="C1468" s="1194"/>
      <c r="D1468" s="1194"/>
      <c r="E1468" s="1194"/>
      <c r="F1468" s="1194">
        <v>3602036000</v>
      </c>
      <c r="G1468" s="1194">
        <v>8861768000</v>
      </c>
      <c r="H1468" s="1194">
        <v>15682513000</v>
      </c>
      <c r="I1468" s="1194">
        <v>1627728000</v>
      </c>
      <c r="J1468" s="1194">
        <v>514779000</v>
      </c>
      <c r="K1468" s="1194">
        <v>42000</v>
      </c>
      <c r="L1468" s="1211"/>
      <c r="M1468" s="1211"/>
      <c r="N1468" s="1211"/>
      <c r="O1468" s="1211"/>
      <c r="P1468" s="1202"/>
      <c r="Q1468" s="1202"/>
      <c r="R1468" s="1110"/>
      <c r="S1468" s="1160"/>
      <c r="T1468" s="1160"/>
      <c r="U1468" s="1160"/>
      <c r="V1468" s="1160"/>
      <c r="W1468" s="1160"/>
      <c r="X1468" s="1160"/>
      <c r="Y1468" s="1160"/>
      <c r="Z1468" s="1160"/>
      <c r="AA1468" s="1160"/>
      <c r="AB1468" s="1160"/>
      <c r="AC1468" s="1160"/>
      <c r="AD1468" s="1160"/>
      <c r="AE1468" s="1160"/>
      <c r="AF1468" s="1160"/>
      <c r="AG1468" s="1160"/>
      <c r="AH1468" s="1160"/>
      <c r="AI1468" s="1160"/>
      <c r="AJ1468" s="1160"/>
      <c r="AK1468" s="1160"/>
      <c r="AL1468" s="1160"/>
      <c r="AM1468" s="1160"/>
      <c r="AN1468" s="1160"/>
      <c r="AO1468" s="1160"/>
      <c r="AP1468" s="1160"/>
      <c r="AQ1468" s="1160"/>
      <c r="AR1468" s="1160"/>
      <c r="AS1468" s="1160"/>
      <c r="AT1468" s="1160"/>
      <c r="AU1468" s="1160"/>
      <c r="AV1468" s="1160"/>
      <c r="AW1468" s="1160"/>
      <c r="AX1468" s="1160"/>
      <c r="AY1468" s="1160"/>
      <c r="AZ1468" s="1160"/>
      <c r="BA1468" s="1160"/>
      <c r="BB1468" s="1160"/>
      <c r="BC1468" s="1160"/>
      <c r="BD1468" s="1160"/>
      <c r="BE1468" s="1160"/>
      <c r="BF1468" s="1160"/>
      <c r="BG1468" s="1160"/>
      <c r="BH1468" s="1160"/>
      <c r="BI1468" s="1160"/>
      <c r="BJ1468" s="1160"/>
      <c r="BK1468" s="1160"/>
      <c r="BL1468" s="1160"/>
      <c r="BM1468" s="1160"/>
      <c r="BN1468" s="1160"/>
      <c r="BO1468" s="1160"/>
      <c r="BP1468" s="1160"/>
      <c r="BQ1468" s="1160"/>
      <c r="BR1468" s="1160"/>
      <c r="BS1468" s="1160"/>
      <c r="BT1468" s="1160"/>
    </row>
    <row r="1469" spans="1:72" s="419" customFormat="1" ht="16.350000000000001" customHeight="1" outlineLevel="1">
      <c r="A1469" s="1105"/>
      <c r="B1469" s="1212" t="s">
        <v>973</v>
      </c>
      <c r="C1469" s="1194"/>
      <c r="D1469" s="1194">
        <v>178097010000</v>
      </c>
      <c r="E1469" s="1194">
        <v>171670459000</v>
      </c>
      <c r="F1469" s="1194">
        <v>153428650000</v>
      </c>
      <c r="G1469" s="1194">
        <f>H1469+G1470+G1471</f>
        <v>122938508000</v>
      </c>
      <c r="H1469" s="1194">
        <f>I1469+H1470+H1471</f>
        <v>101752174000</v>
      </c>
      <c r="I1469" s="1194">
        <f>J1469+I1470+I1471</f>
        <v>84260620000</v>
      </c>
      <c r="J1469" s="1194">
        <f>K1469+J1470+J1471</f>
        <v>58190096000</v>
      </c>
      <c r="K1469" s="1194">
        <f>(857000+25984272000)+K1470+K1471</f>
        <v>37288884000</v>
      </c>
      <c r="L1469" s="1211"/>
      <c r="M1469" s="1211"/>
      <c r="N1469" s="1211"/>
      <c r="O1469" s="1211"/>
      <c r="P1469" s="1194"/>
      <c r="Q1469" s="1194"/>
      <c r="R1469" s="1110"/>
      <c r="S1469" s="1120"/>
      <c r="T1469" s="1120"/>
      <c r="U1469" s="1120"/>
      <c r="V1469" s="1120"/>
      <c r="W1469" s="1120"/>
      <c r="X1469" s="1120"/>
      <c r="Y1469" s="1120"/>
      <c r="Z1469" s="1120"/>
      <c r="AA1469" s="1120"/>
      <c r="AB1469" s="1120"/>
      <c r="AC1469" s="1120"/>
      <c r="AD1469" s="1120"/>
      <c r="AE1469" s="1120"/>
      <c r="AF1469" s="1120"/>
      <c r="AG1469" s="1120"/>
      <c r="AH1469" s="1120"/>
      <c r="AI1469" s="1120"/>
      <c r="AJ1469" s="1120"/>
      <c r="AK1469" s="1120"/>
      <c r="AL1469" s="1120"/>
      <c r="AM1469" s="1120"/>
      <c r="AN1469" s="1120"/>
      <c r="AO1469" s="1120"/>
      <c r="AP1469" s="1120"/>
      <c r="AQ1469" s="1120"/>
      <c r="AR1469" s="1120"/>
      <c r="AS1469" s="1120"/>
      <c r="AT1469" s="1120"/>
      <c r="AU1469" s="1120"/>
      <c r="AV1469" s="1120"/>
      <c r="AW1469" s="1120"/>
      <c r="AX1469" s="1120"/>
      <c r="AY1469" s="1120"/>
      <c r="AZ1469" s="1120"/>
      <c r="BA1469" s="1120"/>
      <c r="BB1469" s="1120"/>
      <c r="BC1469" s="1120"/>
      <c r="BD1469" s="1120"/>
      <c r="BE1469" s="1120"/>
      <c r="BF1469" s="1120"/>
      <c r="BG1469" s="1120"/>
      <c r="BH1469" s="1120"/>
      <c r="BI1469" s="1120"/>
      <c r="BJ1469" s="1120"/>
      <c r="BK1469" s="1120"/>
      <c r="BL1469" s="1120"/>
      <c r="BM1469" s="1120"/>
      <c r="BN1469" s="1120"/>
      <c r="BO1469" s="1120"/>
      <c r="BP1469" s="1120"/>
      <c r="BQ1469" s="1120"/>
      <c r="BR1469" s="1120"/>
      <c r="BS1469" s="1120"/>
      <c r="BT1469" s="1120"/>
    </row>
    <row r="1470" spans="1:72" s="290" customFormat="1" ht="16.350000000000001" customHeight="1" outlineLevel="2" collapsed="1">
      <c r="A1470" s="1105"/>
      <c r="B1470" s="1181" t="s">
        <v>974</v>
      </c>
      <c r="C1470" s="1194"/>
      <c r="D1470" s="1194"/>
      <c r="E1470" s="1194"/>
      <c r="F1470" s="1194">
        <v>54408994000</v>
      </c>
      <c r="G1470" s="1194">
        <f>G1573</f>
        <v>59061200000</v>
      </c>
      <c r="H1470" s="1194">
        <f>H1573</f>
        <v>47685844000</v>
      </c>
      <c r="I1470" s="1194">
        <v>35620375000</v>
      </c>
      <c r="J1470" s="1194">
        <v>25117282000</v>
      </c>
      <c r="K1470" s="1194">
        <v>12303835000</v>
      </c>
      <c r="L1470" s="1211"/>
      <c r="M1470" s="1211"/>
      <c r="N1470" s="1211"/>
      <c r="O1470" s="1211"/>
      <c r="P1470" s="1202"/>
      <c r="Q1470" s="1202"/>
      <c r="R1470" s="1110"/>
      <c r="S1470" s="1160"/>
      <c r="T1470" s="1160"/>
      <c r="U1470" s="1160"/>
      <c r="V1470" s="1160"/>
      <c r="W1470" s="1160"/>
      <c r="X1470" s="1160"/>
      <c r="Y1470" s="1160"/>
      <c r="Z1470" s="1160"/>
      <c r="AA1470" s="1160"/>
      <c r="AB1470" s="1160"/>
      <c r="AC1470" s="1160"/>
      <c r="AD1470" s="1160"/>
      <c r="AE1470" s="1160"/>
      <c r="AF1470" s="1160"/>
      <c r="AG1470" s="1160"/>
      <c r="AH1470" s="1160"/>
      <c r="AI1470" s="1160"/>
      <c r="AJ1470" s="1160"/>
      <c r="AK1470" s="1160"/>
      <c r="AL1470" s="1160"/>
      <c r="AM1470" s="1160"/>
      <c r="AN1470" s="1160"/>
      <c r="AO1470" s="1160"/>
      <c r="AP1470" s="1160"/>
      <c r="AQ1470" s="1160"/>
      <c r="AR1470" s="1160"/>
      <c r="AS1470" s="1160"/>
      <c r="AT1470" s="1160"/>
      <c r="AU1470" s="1160"/>
      <c r="AV1470" s="1160"/>
      <c r="AW1470" s="1160"/>
      <c r="AX1470" s="1160"/>
      <c r="AY1470" s="1160"/>
      <c r="AZ1470" s="1160"/>
      <c r="BA1470" s="1160"/>
      <c r="BB1470" s="1160"/>
      <c r="BC1470" s="1160"/>
      <c r="BD1470" s="1160"/>
      <c r="BE1470" s="1160"/>
      <c r="BF1470" s="1160"/>
      <c r="BG1470" s="1160"/>
      <c r="BH1470" s="1160"/>
      <c r="BI1470" s="1160"/>
      <c r="BJ1470" s="1160"/>
      <c r="BK1470" s="1160"/>
      <c r="BL1470" s="1160"/>
      <c r="BM1470" s="1160"/>
      <c r="BN1470" s="1160"/>
      <c r="BO1470" s="1160"/>
      <c r="BP1470" s="1160"/>
      <c r="BQ1470" s="1160"/>
      <c r="BR1470" s="1160"/>
      <c r="BS1470" s="1160"/>
      <c r="BT1470" s="1160"/>
    </row>
    <row r="1471" spans="1:72" s="256" customFormat="1" ht="16.350000000000001" customHeight="1" outlineLevel="2">
      <c r="A1471" s="1105"/>
      <c r="B1471" s="1213" t="s">
        <v>975</v>
      </c>
      <c r="C1471" s="1214"/>
      <c r="D1471" s="1214"/>
      <c r="E1471" s="1214"/>
      <c r="F1471" s="1214">
        <v>-23918852000</v>
      </c>
      <c r="G1471" s="1214">
        <f t="shared" ref="G1471:M1471" si="168">G1475+G1474+G1473+G1472</f>
        <v>-37874866000</v>
      </c>
      <c r="H1471" s="1214">
        <f t="shared" si="168"/>
        <v>-30194290000</v>
      </c>
      <c r="I1471" s="1214">
        <f t="shared" si="168"/>
        <v>-9549851000</v>
      </c>
      <c r="J1471" s="1214">
        <f t="shared" si="168"/>
        <v>-4216070000</v>
      </c>
      <c r="K1471" s="1214">
        <f t="shared" si="168"/>
        <v>-1000080000</v>
      </c>
      <c r="L1471" s="1215">
        <f t="shared" si="168"/>
        <v>-895089234</v>
      </c>
      <c r="M1471" s="1215">
        <f t="shared" si="168"/>
        <v>-517788006</v>
      </c>
      <c r="N1471" s="1216">
        <v>0</v>
      </c>
      <c r="O1471" s="1216">
        <v>0</v>
      </c>
      <c r="P1471" s="1216">
        <v>0</v>
      </c>
      <c r="Q1471" s="1216">
        <v>0</v>
      </c>
      <c r="R1471" s="1110"/>
    </row>
    <row r="1472" spans="1:72" s="256" customFormat="1" ht="16.350000000000001" customHeight="1" outlineLevel="2">
      <c r="A1472" s="1105"/>
      <c r="B1472" s="1217" t="s">
        <v>226</v>
      </c>
      <c r="C1472" s="1214"/>
      <c r="D1472" s="1214"/>
      <c r="E1472" s="1214"/>
      <c r="F1472" s="1214">
        <v>-11924924000</v>
      </c>
      <c r="G1472" s="1214">
        <v>-16993598000</v>
      </c>
      <c r="H1472" s="1214">
        <v>-14370707000</v>
      </c>
      <c r="I1472" s="1214">
        <v>0</v>
      </c>
      <c r="J1472" s="1214">
        <v>0</v>
      </c>
      <c r="K1472" s="1214">
        <v>0</v>
      </c>
      <c r="L1472" s="1215">
        <v>0</v>
      </c>
      <c r="M1472" s="1215">
        <v>0</v>
      </c>
      <c r="N1472" s="1216">
        <v>0</v>
      </c>
      <c r="O1472" s="1216">
        <v>0</v>
      </c>
      <c r="P1472" s="1216">
        <v>0</v>
      </c>
      <c r="Q1472" s="1216">
        <v>0</v>
      </c>
      <c r="R1472" s="1110"/>
    </row>
    <row r="1473" spans="1:72" s="256" customFormat="1" ht="16.350000000000001" customHeight="1" outlineLevel="2">
      <c r="A1473" s="1105"/>
      <c r="B1473" s="1217" t="s">
        <v>227</v>
      </c>
      <c r="C1473" s="1214"/>
      <c r="D1473" s="1214"/>
      <c r="E1473" s="1214"/>
      <c r="F1473" s="1214">
        <v>-7999173000</v>
      </c>
      <c r="G1473" s="1214">
        <v>-8353960000</v>
      </c>
      <c r="H1473" s="1214">
        <v>-7398334000</v>
      </c>
      <c r="I1473" s="1214">
        <v>-4352418000</v>
      </c>
      <c r="J1473" s="1214">
        <v>-1999763000</v>
      </c>
      <c r="K1473" s="1214">
        <v>0</v>
      </c>
      <c r="L1473" s="1215">
        <v>0</v>
      </c>
      <c r="M1473" s="1215">
        <v>0</v>
      </c>
      <c r="N1473" s="1216">
        <v>0</v>
      </c>
      <c r="O1473" s="1216">
        <v>0</v>
      </c>
      <c r="P1473" s="1216">
        <v>0</v>
      </c>
      <c r="Q1473" s="1216">
        <v>0</v>
      </c>
      <c r="R1473" s="1110"/>
    </row>
    <row r="1474" spans="1:72" s="256" customFormat="1" ht="16.350000000000001" customHeight="1" outlineLevel="2">
      <c r="A1474" s="1105"/>
      <c r="B1474" s="1217" t="s">
        <v>314</v>
      </c>
      <c r="C1474" s="1214"/>
      <c r="D1474" s="1214"/>
      <c r="E1474" s="1214"/>
      <c r="F1474" s="1214">
        <v>-3994755000</v>
      </c>
      <c r="G1474" s="1214">
        <v>-12527308000</v>
      </c>
      <c r="H1474" s="1214">
        <v>-8425249000</v>
      </c>
      <c r="I1474" s="1214">
        <v>-5197433000</v>
      </c>
      <c r="J1474" s="1214">
        <f>-489828000+-1726479000</f>
        <v>-2216307000</v>
      </c>
      <c r="K1474" s="1214">
        <f>-415514000+-584566000</f>
        <v>-1000080000</v>
      </c>
      <c r="L1474" s="1215">
        <v>-895089234</v>
      </c>
      <c r="M1474" s="1215">
        <f>-396249342+-121538664</f>
        <v>-517788006</v>
      </c>
      <c r="N1474" s="1216">
        <v>0</v>
      </c>
      <c r="O1474" s="1216">
        <v>0</v>
      </c>
      <c r="P1474" s="1216">
        <v>0</v>
      </c>
      <c r="Q1474" s="1216">
        <v>0</v>
      </c>
      <c r="R1474" s="1110"/>
    </row>
    <row r="1475" spans="1:72" s="256" customFormat="1" ht="16.350000000000001" customHeight="1" outlineLevel="2">
      <c r="A1475" s="1105"/>
      <c r="B1475" s="1217" t="s">
        <v>229</v>
      </c>
      <c r="C1475" s="1214"/>
      <c r="D1475" s="1214"/>
      <c r="E1475" s="1214"/>
      <c r="F1475" s="1214">
        <v>0</v>
      </c>
      <c r="G1475" s="1214">
        <v>0</v>
      </c>
      <c r="H1475" s="1214">
        <v>0</v>
      </c>
      <c r="I1475" s="1214">
        <v>0</v>
      </c>
      <c r="J1475" s="1214">
        <v>0</v>
      </c>
      <c r="K1475" s="1214">
        <v>0</v>
      </c>
      <c r="L1475" s="1215">
        <v>0</v>
      </c>
      <c r="M1475" s="1215">
        <v>0</v>
      </c>
      <c r="N1475" s="1216">
        <v>0</v>
      </c>
      <c r="O1475" s="1216">
        <v>0</v>
      </c>
      <c r="P1475" s="1216">
        <v>0</v>
      </c>
      <c r="Q1475" s="1216">
        <v>0</v>
      </c>
      <c r="R1475" s="1110"/>
    </row>
    <row r="1476" spans="1:72" s="290" customFormat="1" ht="16.350000000000001" customHeight="1" outlineLevel="1">
      <c r="A1476" s="1105"/>
      <c r="B1476" s="1158" t="s">
        <v>976</v>
      </c>
      <c r="C1476" s="1194"/>
      <c r="D1476" s="1194"/>
      <c r="E1476" s="1194">
        <v>0</v>
      </c>
      <c r="F1476" s="1194">
        <v>0</v>
      </c>
      <c r="G1476" s="1194">
        <v>0</v>
      </c>
      <c r="H1476" s="1194">
        <v>0</v>
      </c>
      <c r="I1476" s="1194">
        <v>0</v>
      </c>
      <c r="J1476" s="1194">
        <v>0</v>
      </c>
      <c r="K1476" s="1194">
        <v>111449000</v>
      </c>
      <c r="L1476" s="1211"/>
      <c r="M1476" s="1211"/>
      <c r="N1476" s="1211"/>
      <c r="O1476" s="1211"/>
      <c r="P1476" s="1202"/>
      <c r="Q1476" s="1202"/>
      <c r="R1476" s="1110"/>
      <c r="S1476" s="1160"/>
      <c r="T1476" s="1160"/>
      <c r="U1476" s="1160"/>
      <c r="V1476" s="1160"/>
      <c r="W1476" s="1160"/>
      <c r="X1476" s="1160"/>
      <c r="Y1476" s="1160"/>
      <c r="Z1476" s="1160"/>
      <c r="AA1476" s="1160"/>
      <c r="AB1476" s="1160"/>
      <c r="AC1476" s="1160"/>
      <c r="AD1476" s="1160"/>
      <c r="AE1476" s="1160"/>
      <c r="AF1476" s="1160"/>
      <c r="AG1476" s="1160"/>
      <c r="AH1476" s="1160"/>
      <c r="AI1476" s="1160"/>
      <c r="AJ1476" s="1160"/>
      <c r="AK1476" s="1160"/>
      <c r="AL1476" s="1160"/>
      <c r="AM1476" s="1160"/>
      <c r="AN1476" s="1160"/>
      <c r="AO1476" s="1160"/>
      <c r="AP1476" s="1160"/>
      <c r="AQ1476" s="1160"/>
      <c r="AR1476" s="1160"/>
      <c r="AS1476" s="1160"/>
      <c r="AT1476" s="1160"/>
      <c r="AU1476" s="1160"/>
      <c r="AV1476" s="1160"/>
      <c r="AW1476" s="1160"/>
      <c r="AX1476" s="1160"/>
      <c r="AY1476" s="1160"/>
      <c r="AZ1476" s="1160"/>
      <c r="BA1476" s="1160"/>
      <c r="BB1476" s="1160"/>
      <c r="BC1476" s="1160"/>
      <c r="BD1476" s="1160"/>
      <c r="BE1476" s="1160"/>
      <c r="BF1476" s="1160"/>
      <c r="BG1476" s="1160"/>
      <c r="BH1476" s="1160"/>
      <c r="BI1476" s="1160"/>
      <c r="BJ1476" s="1160"/>
      <c r="BK1476" s="1160"/>
      <c r="BL1476" s="1160"/>
      <c r="BM1476" s="1160"/>
      <c r="BN1476" s="1160"/>
      <c r="BO1476" s="1160"/>
      <c r="BP1476" s="1160"/>
      <c r="BQ1476" s="1160"/>
      <c r="BR1476" s="1160"/>
      <c r="BS1476" s="1160"/>
      <c r="BT1476" s="1160"/>
    </row>
    <row r="1477" spans="1:72" s="266" customFormat="1" ht="16.350000000000001" customHeight="1" outlineLevel="1">
      <c r="A1477" s="1105"/>
      <c r="B1477" s="1177" t="s">
        <v>977</v>
      </c>
      <c r="C1477" s="1218"/>
      <c r="D1477" s="1218">
        <v>253303907000</v>
      </c>
      <c r="E1477" s="1218">
        <v>259307439000</v>
      </c>
      <c r="F1477" s="1218">
        <f>F1461+F1462+F1466+F1469+F1476</f>
        <v>196076968000</v>
      </c>
      <c r="G1477" s="1218">
        <f>G1461+G1462+G1466+G1469+G1476</f>
        <v>165140596000</v>
      </c>
      <c r="H1477" s="1180">
        <f>H1461+H1462+H1466+H1469+H1476</f>
        <v>143651620000</v>
      </c>
      <c r="I1477" s="1180">
        <f>I1461+I1462+I1466+I1469+I1476</f>
        <v>126162135000</v>
      </c>
      <c r="J1477" s="1180">
        <f>J1461+J1462+J1466+J1469+J1476</f>
        <v>99235714000</v>
      </c>
      <c r="K1477" s="1180">
        <f>K1461+K1462+K1466+K1469</f>
        <v>78584242000</v>
      </c>
      <c r="L1477" s="1219"/>
      <c r="M1477" s="1219"/>
      <c r="N1477" s="1219"/>
      <c r="O1477" s="1219"/>
      <c r="P1477" s="1180"/>
      <c r="Q1477" s="1180"/>
      <c r="R1477" s="1110"/>
    </row>
    <row r="1478" spans="1:72" s="1125" customFormat="1" ht="16.350000000000001" customHeight="1" outlineLevel="1">
      <c r="A1478" s="1105"/>
      <c r="B1478" s="1204"/>
      <c r="C1478" s="1194"/>
      <c r="D1478" s="1194"/>
      <c r="E1478" s="1194"/>
      <c r="F1478" s="1194"/>
      <c r="G1478" s="1194"/>
      <c r="H1478" s="1194"/>
      <c r="I1478" s="1194"/>
      <c r="J1478" s="1194"/>
      <c r="K1478" s="1194"/>
      <c r="L1478" s="1195"/>
      <c r="M1478" s="1195"/>
      <c r="N1478" s="1195"/>
      <c r="O1478" s="1195"/>
      <c r="P1478" s="1195"/>
      <c r="Q1478" s="1195"/>
      <c r="R1478" s="1110"/>
      <c r="S1478" s="1124"/>
      <c r="T1478" s="1124"/>
      <c r="U1478" s="1124"/>
      <c r="V1478" s="1124"/>
      <c r="W1478" s="1124"/>
      <c r="X1478" s="1124"/>
      <c r="Y1478" s="1124"/>
      <c r="Z1478" s="1124"/>
      <c r="AA1478" s="1124"/>
      <c r="AB1478" s="1124"/>
      <c r="AC1478" s="1124"/>
      <c r="AD1478" s="1124"/>
      <c r="AE1478" s="1124"/>
      <c r="AF1478" s="1124"/>
      <c r="AG1478" s="1124"/>
      <c r="AH1478" s="1124"/>
      <c r="AI1478" s="1124"/>
      <c r="AJ1478" s="1124"/>
      <c r="AK1478" s="1124"/>
      <c r="AL1478" s="1124"/>
      <c r="AM1478" s="1124"/>
      <c r="AN1478" s="1124"/>
      <c r="AO1478" s="1124"/>
      <c r="AP1478" s="1124"/>
      <c r="AQ1478" s="1124"/>
      <c r="AR1478" s="1124"/>
      <c r="AS1478" s="1124"/>
      <c r="AT1478" s="1124"/>
      <c r="AU1478" s="1124"/>
      <c r="AV1478" s="1124"/>
      <c r="AW1478" s="1124"/>
      <c r="AX1478" s="1124"/>
      <c r="AY1478" s="1124"/>
      <c r="AZ1478" s="1124"/>
      <c r="BA1478" s="1124"/>
      <c r="BB1478" s="1124"/>
      <c r="BC1478" s="1124"/>
      <c r="BD1478" s="1124"/>
      <c r="BE1478" s="1124"/>
      <c r="BF1478" s="1124"/>
      <c r="BG1478" s="1124"/>
      <c r="BH1478" s="1124"/>
      <c r="BI1478" s="1124"/>
      <c r="BJ1478" s="1124"/>
      <c r="BK1478" s="1124"/>
      <c r="BL1478" s="1124"/>
      <c r="BM1478" s="1124"/>
      <c r="BN1478" s="1124"/>
      <c r="BO1478" s="1124"/>
      <c r="BP1478" s="1124"/>
      <c r="BQ1478" s="1124"/>
      <c r="BR1478" s="1124"/>
      <c r="BS1478" s="1124"/>
      <c r="BT1478" s="1124"/>
    </row>
    <row r="1479" spans="1:72" s="1191" customFormat="1" ht="16.350000000000001" customHeight="1" outlineLevel="1">
      <c r="A1479" s="1105"/>
      <c r="B1479" s="1188" t="s">
        <v>978</v>
      </c>
      <c r="C1479" s="1207"/>
      <c r="D1479" s="1207">
        <v>611587689000</v>
      </c>
      <c r="E1479" s="1207">
        <v>526325247000</v>
      </c>
      <c r="F1479" s="1207">
        <f>F1458+F1477</f>
        <v>454915486000</v>
      </c>
      <c r="G1479" s="1207">
        <f>G1458+G1477</f>
        <v>404192973000</v>
      </c>
      <c r="H1479" s="1207">
        <f>H1458+H1477</f>
        <v>344761333000</v>
      </c>
      <c r="I1479" s="1207">
        <f>I1458+I1477</f>
        <v>268180550000</v>
      </c>
      <c r="J1479" s="1207">
        <f>J1458+J1477</f>
        <v>220528255000</v>
      </c>
      <c r="K1479" s="1207">
        <f>K1458+K1477+K1476</f>
        <v>175381797000</v>
      </c>
      <c r="L1479" s="1207"/>
      <c r="M1479" s="1207"/>
      <c r="N1479" s="1207"/>
      <c r="O1479" s="1207"/>
      <c r="P1479" s="1207"/>
      <c r="Q1479" s="1207"/>
      <c r="R1479" s="1110"/>
      <c r="S1479" s="1190"/>
      <c r="T1479" s="1190"/>
      <c r="U1479" s="1190"/>
      <c r="V1479" s="1190"/>
      <c r="W1479" s="1190"/>
      <c r="X1479" s="1190"/>
      <c r="Y1479" s="1190"/>
      <c r="Z1479" s="1190"/>
      <c r="AA1479" s="1190"/>
      <c r="AB1479" s="1190"/>
      <c r="AC1479" s="1190"/>
      <c r="AD1479" s="1190"/>
      <c r="AE1479" s="1190"/>
      <c r="AF1479" s="1190"/>
      <c r="AG1479" s="1190"/>
      <c r="AH1479" s="1190"/>
      <c r="AI1479" s="1190"/>
      <c r="AJ1479" s="1190"/>
      <c r="AK1479" s="1190"/>
      <c r="AL1479" s="1190"/>
      <c r="AM1479" s="1190"/>
      <c r="AN1479" s="1190"/>
      <c r="AO1479" s="1190"/>
      <c r="AP1479" s="1190"/>
      <c r="AQ1479" s="1190"/>
      <c r="AR1479" s="1190"/>
      <c r="AS1479" s="1190"/>
      <c r="AT1479" s="1190"/>
      <c r="AU1479" s="1190"/>
      <c r="AV1479" s="1190"/>
      <c r="AW1479" s="1190"/>
      <c r="AX1479" s="1190"/>
      <c r="AY1479" s="1190"/>
      <c r="AZ1479" s="1190"/>
      <c r="BA1479" s="1190"/>
      <c r="BB1479" s="1190"/>
      <c r="BC1479" s="1190"/>
      <c r="BD1479" s="1190"/>
      <c r="BE1479" s="1190"/>
      <c r="BF1479" s="1190"/>
      <c r="BG1479" s="1190"/>
    </row>
    <row r="1480" spans="1:72" s="1223" customFormat="1" ht="16.350000000000001" customHeight="1" outlineLevel="1">
      <c r="A1480" s="1105"/>
      <c r="B1480" s="1220"/>
      <c r="C1480" s="1221"/>
      <c r="D1480" s="1221"/>
      <c r="E1480" s="1221"/>
      <c r="F1480" s="1221"/>
      <c r="G1480" s="1221"/>
      <c r="H1480" s="1221"/>
      <c r="I1480" s="1221"/>
      <c r="J1480" s="1221"/>
      <c r="K1480" s="1221"/>
      <c r="L1480" s="1221"/>
      <c r="M1480" s="1221"/>
      <c r="N1480" s="1221"/>
      <c r="O1480" s="1221"/>
      <c r="P1480" s="1221"/>
      <c r="Q1480" s="1221"/>
      <c r="R1480" s="1110"/>
      <c r="S1480" s="1222"/>
      <c r="T1480" s="1222"/>
      <c r="U1480" s="1222"/>
      <c r="V1480" s="1222"/>
      <c r="W1480" s="1222"/>
      <c r="X1480" s="1222"/>
      <c r="Y1480" s="1222"/>
      <c r="Z1480" s="1222"/>
      <c r="AA1480" s="1222"/>
      <c r="AB1480" s="1222"/>
      <c r="AC1480" s="1222"/>
      <c r="AD1480" s="1222"/>
      <c r="AE1480" s="1222"/>
      <c r="AF1480" s="1222"/>
      <c r="AG1480" s="1222"/>
      <c r="AH1480" s="1222"/>
      <c r="AI1480" s="1222"/>
      <c r="AJ1480" s="1222"/>
      <c r="AK1480" s="1222"/>
      <c r="AL1480" s="1222"/>
      <c r="AM1480" s="1222"/>
      <c r="AN1480" s="1222"/>
      <c r="AO1480" s="1222"/>
      <c r="AP1480" s="1222"/>
      <c r="AQ1480" s="1222"/>
      <c r="AR1480" s="1222"/>
      <c r="AS1480" s="1222"/>
      <c r="AT1480" s="1222"/>
      <c r="AU1480" s="1222"/>
      <c r="AV1480" s="1222"/>
      <c r="AW1480" s="1222"/>
      <c r="AX1480" s="1222"/>
      <c r="AY1480" s="1222"/>
      <c r="AZ1480" s="1222"/>
      <c r="BA1480" s="1222"/>
      <c r="BB1480" s="1222"/>
      <c r="BC1480" s="1222"/>
      <c r="BD1480" s="1222"/>
      <c r="BE1480" s="1222"/>
      <c r="BF1480" s="1222"/>
      <c r="BG1480" s="1222"/>
    </row>
    <row r="1481" spans="1:72" s="1104" customFormat="1" ht="21" customHeight="1">
      <c r="A1481" s="1552" t="s">
        <v>979</v>
      </c>
      <c r="B1481" s="1553"/>
      <c r="C1481" s="1224"/>
      <c r="D1481" s="1101"/>
      <c r="E1481" s="1101"/>
      <c r="F1481" s="1101"/>
      <c r="G1481" s="1101"/>
      <c r="H1481" s="1101"/>
      <c r="I1481" s="1102"/>
      <c r="J1481" s="1102"/>
      <c r="K1481" s="1102"/>
      <c r="L1481" s="1102"/>
      <c r="M1481" s="1102"/>
      <c r="N1481" s="1102"/>
      <c r="O1481" s="1102"/>
      <c r="P1481" s="1102"/>
      <c r="Q1481" s="1102"/>
      <c r="R1481" s="1103"/>
    </row>
    <row r="1482" spans="1:72" s="1229" customFormat="1" ht="16.350000000000001" customHeight="1" outlineLevel="1">
      <c r="A1482" s="1225"/>
      <c r="B1482" s="1226"/>
      <c r="C1482" s="1227"/>
      <c r="D1482" s="1227"/>
      <c r="E1482" s="1227"/>
      <c r="F1482" s="1227"/>
      <c r="G1482" s="1227"/>
      <c r="H1482" s="1227"/>
      <c r="I1482" s="1227"/>
      <c r="J1482" s="1227"/>
      <c r="K1482" s="1227"/>
      <c r="L1482" s="1228"/>
      <c r="M1482" s="1228"/>
      <c r="N1482" s="1228"/>
      <c r="O1482" s="1228"/>
      <c r="P1482" s="1228"/>
      <c r="Q1482" s="1228"/>
      <c r="R1482" s="1110"/>
    </row>
    <row r="1483" spans="1:72" s="1235" customFormat="1" ht="16.350000000000001" customHeight="1" outlineLevel="1">
      <c r="A1483" s="1230"/>
      <c r="B1483" s="1231" t="s">
        <v>262</v>
      </c>
      <c r="C1483" s="1232"/>
      <c r="D1483" s="1232">
        <v>1237015457000</v>
      </c>
      <c r="E1483" s="1232">
        <v>1143314405000</v>
      </c>
      <c r="F1483" s="1232">
        <f t="shared" ref="F1483:K1483" si="169">F1484+F1485</f>
        <v>1074811554000</v>
      </c>
      <c r="G1483" s="1232">
        <f t="shared" si="169"/>
        <v>950613336000</v>
      </c>
      <c r="H1483" s="1232">
        <f t="shared" si="169"/>
        <v>763527252000</v>
      </c>
      <c r="I1483" s="1232">
        <f t="shared" si="169"/>
        <v>579694880000</v>
      </c>
      <c r="J1483" s="1232">
        <f t="shared" si="169"/>
        <v>448661127000</v>
      </c>
      <c r="K1483" s="1232">
        <f t="shared" si="169"/>
        <v>335699949000</v>
      </c>
      <c r="L1483" s="1233"/>
      <c r="M1483" s="1233"/>
      <c r="N1483" s="1233"/>
      <c r="O1483" s="1233"/>
      <c r="P1483" s="1233"/>
      <c r="Q1483" s="1233"/>
      <c r="R1483" s="1234"/>
    </row>
    <row r="1484" spans="1:72" s="1239" customFormat="1" ht="16.350000000000001" customHeight="1" outlineLevel="1">
      <c r="A1484" s="1225"/>
      <c r="B1484" s="1236" t="s">
        <v>823</v>
      </c>
      <c r="C1484" s="1194"/>
      <c r="D1484" s="1194">
        <v>1216851273000</v>
      </c>
      <c r="E1484" s="1194">
        <v>1131113105000</v>
      </c>
      <c r="F1484" s="1194">
        <v>1069205846000</v>
      </c>
      <c r="G1484" s="1237">
        <v>947800986000</v>
      </c>
      <c r="H1484" s="1237">
        <v>762721313000</v>
      </c>
      <c r="I1484" s="1237">
        <v>579528482000</v>
      </c>
      <c r="J1484" s="1237">
        <v>448486197000</v>
      </c>
      <c r="K1484" s="1237">
        <v>335607398000</v>
      </c>
      <c r="L1484" s="1238"/>
      <c r="M1484" s="1238"/>
      <c r="N1484" s="1238"/>
      <c r="O1484" s="1238"/>
      <c r="P1484" s="1238"/>
      <c r="Q1484" s="1238"/>
      <c r="R1484" s="1110"/>
    </row>
    <row r="1485" spans="1:72" s="1239" customFormat="1" ht="16.350000000000001" customHeight="1" outlineLevel="1">
      <c r="A1485" s="1225"/>
      <c r="B1485" s="1236" t="s">
        <v>980</v>
      </c>
      <c r="C1485" s="1194"/>
      <c r="D1485" s="1194">
        <v>20164184000</v>
      </c>
      <c r="E1485" s="1194">
        <v>12201300000</v>
      </c>
      <c r="F1485" s="1194">
        <v>5605708000</v>
      </c>
      <c r="G1485" s="1237">
        <v>2812350000</v>
      </c>
      <c r="H1485" s="1237">
        <v>805939000</v>
      </c>
      <c r="I1485" s="1237">
        <v>166398000</v>
      </c>
      <c r="J1485" s="1237">
        <v>174930000</v>
      </c>
      <c r="K1485" s="1237">
        <v>92551000</v>
      </c>
      <c r="L1485" s="1238"/>
      <c r="M1485" s="1238"/>
      <c r="N1485" s="1238"/>
      <c r="O1485" s="1238"/>
      <c r="P1485" s="1238"/>
      <c r="Q1485" s="1238"/>
      <c r="R1485" s="1110"/>
    </row>
    <row r="1486" spans="1:72" s="1239" customFormat="1" ht="16.350000000000001" customHeight="1" outlineLevel="1">
      <c r="A1486" s="1225"/>
      <c r="B1486" s="1236"/>
      <c r="C1486" s="1218"/>
      <c r="D1486" s="1218"/>
      <c r="E1486" s="1218"/>
      <c r="F1486" s="1218"/>
      <c r="G1486" s="1194"/>
      <c r="H1486" s="1237"/>
      <c r="I1486" s="1237"/>
      <c r="J1486" s="1237"/>
      <c r="K1486" s="1237"/>
      <c r="L1486" s="1238"/>
      <c r="M1486" s="1238"/>
      <c r="N1486" s="1238"/>
      <c r="O1486" s="1238"/>
      <c r="P1486" s="1238"/>
      <c r="Q1486" s="1238"/>
      <c r="R1486" s="1110"/>
    </row>
    <row r="1487" spans="1:72" s="1242" customFormat="1" ht="16.350000000000001" customHeight="1" outlineLevel="1">
      <c r="A1487" s="1225"/>
      <c r="B1487" s="1240" t="s">
        <v>267</v>
      </c>
      <c r="C1487" s="1218"/>
      <c r="D1487" s="1218">
        <v>-940568293000</v>
      </c>
      <c r="E1487" s="1218">
        <v>-853816856000</v>
      </c>
      <c r="F1487" s="1218">
        <f t="shared" ref="F1487:K1487" si="170">F1488+F1491+F1492+F1489+F1490</f>
        <v>-779052545000</v>
      </c>
      <c r="G1487" s="1218">
        <f t="shared" si="170"/>
        <v>-679792530000</v>
      </c>
      <c r="H1487" s="1180">
        <f t="shared" si="170"/>
        <v>-543006689000</v>
      </c>
      <c r="I1487" s="1180">
        <f t="shared" si="170"/>
        <v>-414431886000</v>
      </c>
      <c r="J1487" s="1180">
        <f t="shared" si="170"/>
        <v>-329609339000</v>
      </c>
      <c r="K1487" s="1218">
        <f t="shared" si="170"/>
        <v>-254036496000</v>
      </c>
      <c r="L1487" s="1241"/>
      <c r="M1487" s="1241"/>
      <c r="N1487" s="1241"/>
      <c r="O1487" s="1241"/>
      <c r="P1487" s="1241"/>
      <c r="Q1487" s="1241"/>
      <c r="R1487" s="1110"/>
    </row>
    <row r="1488" spans="1:72" s="1245" customFormat="1" ht="16.350000000000001" customHeight="1" outlineLevel="1">
      <c r="A1488" s="1225"/>
      <c r="B1488" s="1243" t="s">
        <v>981</v>
      </c>
      <c r="C1488" s="1194"/>
      <c r="D1488" s="1194">
        <f>-906357321000-D1489</f>
        <v>-884341335000</v>
      </c>
      <c r="E1488" s="1194">
        <f>-823797268000-E1489</f>
        <v>-801757744000</v>
      </c>
      <c r="F1488" s="1194">
        <f>-753429310000-F1489-F1490</f>
        <v>-744710193000</v>
      </c>
      <c r="G1488" s="1194">
        <f>-641687891000-G1489-G1490</f>
        <v>-633974944000</v>
      </c>
      <c r="H1488" s="1194">
        <f>-510209863000-H1489-H1490</f>
        <v>-503683408000</v>
      </c>
      <c r="I1488" s="1237">
        <f>-388121724000-I1489-I1490</f>
        <v>-383062745000</v>
      </c>
      <c r="J1488" s="1237">
        <f>-308661679000-J1489-J1490</f>
        <v>-304549300000</v>
      </c>
      <c r="K1488" s="1237">
        <f>-237872470000-K1489-K1490</f>
        <v>-233865989000</v>
      </c>
      <c r="L1488" s="1244"/>
      <c r="M1488" s="1244"/>
      <c r="N1488" s="1244"/>
      <c r="O1488" s="1244"/>
      <c r="P1488" s="1244"/>
      <c r="Q1488" s="1244"/>
      <c r="R1488" s="1110"/>
    </row>
    <row r="1489" spans="1:18" s="1239" customFormat="1" ht="16.350000000000001" customHeight="1" outlineLevel="1">
      <c r="A1489" s="1225"/>
      <c r="B1489" s="1246" t="s">
        <v>982</v>
      </c>
      <c r="C1489" s="1194"/>
      <c r="D1489" s="1194">
        <v>-22015986000</v>
      </c>
      <c r="E1489" s="1194">
        <v>-22039524000</v>
      </c>
      <c r="F1489" s="1194">
        <v>-8581162000</v>
      </c>
      <c r="G1489" s="1194">
        <v>-7624462000</v>
      </c>
      <c r="H1489" s="1194">
        <v>-6466323000</v>
      </c>
      <c r="I1489" s="1237">
        <v>-5049730000</v>
      </c>
      <c r="J1489" s="1237">
        <v>-4112379000</v>
      </c>
      <c r="K1489" s="1237">
        <v>-4006481000</v>
      </c>
      <c r="L1489" s="1238"/>
      <c r="M1489" s="1238"/>
      <c r="N1489" s="1238"/>
      <c r="O1489" s="1238"/>
      <c r="P1489" s="1238"/>
      <c r="Q1489" s="1238"/>
      <c r="R1489" s="1110"/>
    </row>
    <row r="1490" spans="1:18" s="1239" customFormat="1" ht="16.350000000000001" customHeight="1" outlineLevel="1">
      <c r="A1490" s="1225"/>
      <c r="B1490" s="1246" t="s">
        <v>983</v>
      </c>
      <c r="C1490" s="1194"/>
      <c r="D1490" s="1194"/>
      <c r="E1490" s="1194"/>
      <c r="F1490" s="1194">
        <v>-137955000</v>
      </c>
      <c r="G1490" s="1194">
        <v>-88485000</v>
      </c>
      <c r="H1490" s="1237">
        <v>-60132000</v>
      </c>
      <c r="I1490" s="1237">
        <v>-9249000</v>
      </c>
      <c r="J1490" s="1237">
        <v>0</v>
      </c>
      <c r="K1490" s="1237">
        <v>0</v>
      </c>
      <c r="L1490" s="1238"/>
      <c r="M1490" s="1238"/>
      <c r="N1490" s="1238"/>
      <c r="O1490" s="1238"/>
      <c r="P1490" s="1238"/>
      <c r="Q1490" s="1238"/>
      <c r="R1490" s="1110"/>
    </row>
    <row r="1491" spans="1:18" s="1239" customFormat="1" ht="16.350000000000001" customHeight="1" outlineLevel="1">
      <c r="A1491" s="1225"/>
      <c r="B1491" s="1246" t="s">
        <v>264</v>
      </c>
      <c r="C1491" s="1194"/>
      <c r="D1491" s="1194">
        <v>-34210972000</v>
      </c>
      <c r="E1491" s="1194">
        <v>-30019588000</v>
      </c>
      <c r="F1491" s="1194">
        <v>-25623235000</v>
      </c>
      <c r="G1491" s="1194">
        <v>-21766081000</v>
      </c>
      <c r="H1491" s="1237">
        <v>-20730017000</v>
      </c>
      <c r="I1491" s="1237">
        <v>-17591917000</v>
      </c>
      <c r="J1491" s="1237">
        <v>-13975470000</v>
      </c>
      <c r="K1491" s="1237">
        <v>-11319153000</v>
      </c>
      <c r="L1491" s="1238"/>
      <c r="M1491" s="1238"/>
      <c r="N1491" s="1238"/>
      <c r="O1491" s="1238"/>
      <c r="P1491" s="1238"/>
      <c r="Q1491" s="1238"/>
      <c r="R1491" s="1110"/>
    </row>
    <row r="1492" spans="1:18" s="1239" customFormat="1" ht="16.350000000000001" customHeight="1" outlineLevel="1">
      <c r="A1492" s="1225"/>
      <c r="B1492" s="1246" t="s">
        <v>984</v>
      </c>
      <c r="C1492" s="1194"/>
      <c r="D1492" s="1194"/>
      <c r="E1492" s="1194"/>
      <c r="F1492" s="1194"/>
      <c r="G1492" s="1194">
        <v>-16338558000</v>
      </c>
      <c r="H1492" s="1237">
        <v>-12066809000</v>
      </c>
      <c r="I1492" s="1237">
        <v>-8718245000</v>
      </c>
      <c r="J1492" s="1237">
        <v>-6972190000</v>
      </c>
      <c r="K1492" s="1237">
        <v>-4844873000</v>
      </c>
      <c r="L1492" s="1238"/>
      <c r="M1492" s="1238"/>
      <c r="N1492" s="1238"/>
      <c r="O1492" s="1238"/>
      <c r="P1492" s="1238"/>
      <c r="Q1492" s="1238"/>
      <c r="R1492" s="1110"/>
    </row>
    <row r="1493" spans="1:18" s="266" customFormat="1" ht="16.350000000000001" customHeight="1" outlineLevel="1">
      <c r="A1493" s="1225"/>
      <c r="B1493" s="1177" t="s">
        <v>985</v>
      </c>
      <c r="C1493" s="1218"/>
      <c r="D1493" s="1218">
        <f>D1483+D1487</f>
        <v>296447164000</v>
      </c>
      <c r="E1493" s="1218">
        <f>E1483+E1487</f>
        <v>289497549000</v>
      </c>
      <c r="F1493" s="1218">
        <f t="shared" ref="F1493:K1493" si="171">F1483+F1487</f>
        <v>295759009000</v>
      </c>
      <c r="G1493" s="1218">
        <f t="shared" si="171"/>
        <v>270820806000</v>
      </c>
      <c r="H1493" s="1180">
        <f t="shared" si="171"/>
        <v>220520563000</v>
      </c>
      <c r="I1493" s="1180">
        <f t="shared" si="171"/>
        <v>165262994000</v>
      </c>
      <c r="J1493" s="1180">
        <f t="shared" si="171"/>
        <v>119051788000</v>
      </c>
      <c r="K1493" s="1180">
        <f t="shared" si="171"/>
        <v>81663453000</v>
      </c>
      <c r="L1493" s="1180"/>
      <c r="M1493" s="1180"/>
      <c r="N1493" s="1180"/>
      <c r="O1493" s="1180"/>
      <c r="P1493" s="1180"/>
      <c r="Q1493" s="1180"/>
      <c r="R1493" s="1110"/>
    </row>
    <row r="1494" spans="1:18" s="1248" customFormat="1" ht="16.350000000000001" customHeight="1" outlineLevel="1">
      <c r="A1494" s="1225"/>
      <c r="B1494" s="1247"/>
      <c r="C1494" s="1227"/>
      <c r="D1494" s="1227"/>
      <c r="E1494" s="1227"/>
      <c r="F1494" s="1227"/>
      <c r="G1494" s="1194"/>
      <c r="H1494" s="1237"/>
      <c r="I1494" s="1237"/>
      <c r="J1494" s="1237"/>
      <c r="K1494" s="1237"/>
      <c r="L1494" s="1237"/>
      <c r="M1494" s="1237"/>
      <c r="N1494" s="1237"/>
      <c r="O1494" s="1237"/>
      <c r="P1494" s="1237"/>
      <c r="Q1494" s="1237"/>
      <c r="R1494" s="1110"/>
    </row>
    <row r="1495" spans="1:18" s="1229" customFormat="1" ht="16.350000000000001" customHeight="1" outlineLevel="1">
      <c r="A1495" s="1225"/>
      <c r="B1495" s="1249" t="s">
        <v>986</v>
      </c>
      <c r="C1495" s="1227"/>
      <c r="D1495" s="1227">
        <f t="shared" ref="D1495:K1495" si="172">D1497-D1510</f>
        <v>141139694000</v>
      </c>
      <c r="E1495" s="1227">
        <f t="shared" si="172"/>
        <v>136966981000</v>
      </c>
      <c r="F1495" s="1227">
        <f t="shared" si="172"/>
        <v>145125392000</v>
      </c>
      <c r="G1495" s="1227">
        <f t="shared" si="172"/>
        <v>136782940000</v>
      </c>
      <c r="H1495" s="1227">
        <f t="shared" si="172"/>
        <v>109297680000</v>
      </c>
      <c r="I1495" s="1227">
        <f t="shared" si="172"/>
        <v>80029364000</v>
      </c>
      <c r="J1495" s="1227">
        <f t="shared" si="172"/>
        <v>57654668000</v>
      </c>
      <c r="K1495" s="1227">
        <f t="shared" si="172"/>
        <v>34597792000</v>
      </c>
      <c r="L1495" s="1227"/>
      <c r="M1495" s="1227"/>
      <c r="N1495" s="1227"/>
      <c r="O1495" s="1227"/>
      <c r="P1495" s="1227"/>
      <c r="Q1495" s="1227"/>
      <c r="R1495" s="1110"/>
    </row>
    <row r="1496" spans="1:18" s="270" customFormat="1" ht="16.350000000000001" customHeight="1" outlineLevel="1">
      <c r="A1496" s="1225"/>
      <c r="B1496" s="1250"/>
      <c r="C1496" s="1227"/>
      <c r="D1496" s="1227"/>
      <c r="E1496" s="1227"/>
      <c r="F1496" s="1227"/>
      <c r="G1496" s="1251"/>
      <c r="H1496" s="1251"/>
      <c r="I1496" s="1251"/>
      <c r="J1496" s="1251"/>
      <c r="K1496" s="1251"/>
      <c r="L1496" s="1251"/>
      <c r="M1496" s="1251"/>
      <c r="N1496" s="1251"/>
      <c r="O1496" s="1251"/>
      <c r="P1496" s="1251"/>
      <c r="Q1496" s="1251"/>
      <c r="R1496" s="1110"/>
    </row>
    <row r="1497" spans="1:18" s="1229" customFormat="1" ht="16.350000000000001" customHeight="1" outlineLevel="1">
      <c r="A1497" s="1225"/>
      <c r="B1497" s="1249" t="s">
        <v>34</v>
      </c>
      <c r="C1497" s="1227"/>
      <c r="D1497" s="1227">
        <f t="shared" ref="D1497:K1497" si="173">D1524+D1498+D1499</f>
        <v>89930689000</v>
      </c>
      <c r="E1497" s="1227">
        <f t="shared" si="173"/>
        <v>91643960000</v>
      </c>
      <c r="F1497" s="1227">
        <f t="shared" si="173"/>
        <v>106653992000</v>
      </c>
      <c r="G1497" s="1227">
        <f t="shared" si="173"/>
        <v>106605950000</v>
      </c>
      <c r="H1497" s="1227">
        <f t="shared" si="173"/>
        <v>88723850000</v>
      </c>
      <c r="I1497" s="1227">
        <f t="shared" si="173"/>
        <v>65072264000</v>
      </c>
      <c r="J1497" s="1227">
        <f t="shared" si="173"/>
        <v>47264386000</v>
      </c>
      <c r="K1497" s="1227">
        <f t="shared" si="173"/>
        <v>27564963000</v>
      </c>
      <c r="L1497" s="1227"/>
      <c r="M1497" s="1227"/>
      <c r="N1497" s="1227"/>
      <c r="O1497" s="1227"/>
      <c r="P1497" s="1227"/>
      <c r="Q1497" s="1227"/>
      <c r="R1497" s="1110"/>
    </row>
    <row r="1498" spans="1:18" s="270" customFormat="1" ht="16.350000000000001" customHeight="1" outlineLevel="1">
      <c r="A1498" s="1225"/>
      <c r="B1498" s="1250" t="s">
        <v>987</v>
      </c>
      <c r="C1498" s="1251"/>
      <c r="D1498" s="1251">
        <v>35521322000</v>
      </c>
      <c r="E1498" s="1251">
        <v>32947360000</v>
      </c>
      <c r="F1498" s="1251">
        <v>25219767000</v>
      </c>
      <c r="G1498" s="1251">
        <f t="shared" ref="G1498:K1499" si="174">G1581</f>
        <v>20605896000</v>
      </c>
      <c r="H1498" s="1251">
        <f t="shared" si="174"/>
        <v>17264213000</v>
      </c>
      <c r="I1498" s="1251">
        <f t="shared" si="174"/>
        <v>13890473000</v>
      </c>
      <c r="J1498" s="1251">
        <f t="shared" si="174"/>
        <v>11025488000</v>
      </c>
      <c r="K1498" s="1251">
        <f t="shared" si="174"/>
        <v>7822242000</v>
      </c>
      <c r="L1498" s="1251"/>
      <c r="M1498" s="1251"/>
      <c r="N1498" s="1251"/>
      <c r="O1498" s="1251"/>
      <c r="P1498" s="1251"/>
      <c r="Q1498" s="1251"/>
      <c r="R1498" s="1110"/>
    </row>
    <row r="1499" spans="1:18" s="270" customFormat="1" ht="16.350000000000001" customHeight="1" outlineLevel="1">
      <c r="A1499" s="1225"/>
      <c r="B1499" s="1250" t="s">
        <v>988</v>
      </c>
      <c r="C1499" s="1251"/>
      <c r="D1499" s="1251">
        <v>996116000</v>
      </c>
      <c r="E1499" s="1251">
        <v>768342000</v>
      </c>
      <c r="F1499" s="1251">
        <v>605866000</v>
      </c>
      <c r="G1499" s="1251">
        <f t="shared" si="174"/>
        <v>510829000</v>
      </c>
      <c r="H1499" s="1251">
        <f t="shared" si="174"/>
        <v>345452000</v>
      </c>
      <c r="I1499" s="1251">
        <f t="shared" si="174"/>
        <v>293881000</v>
      </c>
      <c r="J1499" s="1251">
        <f t="shared" si="174"/>
        <v>244177000</v>
      </c>
      <c r="K1499" s="1251">
        <f t="shared" si="174"/>
        <v>157688000</v>
      </c>
      <c r="L1499" s="1251"/>
      <c r="M1499" s="1251"/>
      <c r="N1499" s="1251"/>
      <c r="O1499" s="1251"/>
      <c r="P1499" s="1251"/>
      <c r="Q1499" s="1251"/>
      <c r="R1499" s="1110"/>
    </row>
    <row r="1500" spans="1:18" s="1248" customFormat="1" ht="16.350000000000001" customHeight="1" outlineLevel="1">
      <c r="A1500" s="1225"/>
      <c r="B1500" s="1247"/>
      <c r="C1500" s="1218"/>
      <c r="D1500" s="1218"/>
      <c r="E1500" s="1218"/>
      <c r="F1500" s="1218"/>
      <c r="G1500" s="1194"/>
      <c r="H1500" s="1237"/>
      <c r="I1500" s="1237"/>
      <c r="J1500" s="1237"/>
      <c r="K1500" s="1237"/>
      <c r="L1500" s="1237"/>
      <c r="M1500" s="1237"/>
      <c r="N1500" s="1237"/>
      <c r="O1500" s="1237"/>
      <c r="P1500" s="1237"/>
      <c r="Q1500" s="1237"/>
      <c r="R1500" s="1110"/>
    </row>
    <row r="1501" spans="1:18" s="1242" customFormat="1" ht="16.350000000000001" customHeight="1" outlineLevel="1">
      <c r="A1501" s="1225"/>
      <c r="B1501" s="1240" t="s">
        <v>270</v>
      </c>
      <c r="C1501" s="1218"/>
      <c r="D1501" s="1218">
        <f>D1502+D1503+D1504</f>
        <v>-16069946000</v>
      </c>
      <c r="E1501" s="1218">
        <f>E1502+E1503+E1504</f>
        <v>-15629200000</v>
      </c>
      <c r="F1501" s="1218">
        <f>SUM(F1502:F1504)</f>
        <v>-12999499000</v>
      </c>
      <c r="G1501" s="1218">
        <f>SUM(G1502:G1504)</f>
        <v>-12655622000</v>
      </c>
      <c r="H1501" s="1180">
        <f>SUM(H1502:H1504)</f>
        <v>-8912043000</v>
      </c>
      <c r="I1501" s="1180">
        <f>I1502+I1503+I1504</f>
        <v>-5636203000</v>
      </c>
      <c r="J1501" s="1180">
        <f>J1502+J1503+J1504</f>
        <v>-4835519000</v>
      </c>
      <c r="K1501" s="1218">
        <f>K1502+K1503+K1504</f>
        <v>-3929454000</v>
      </c>
      <c r="L1501" s="1241"/>
      <c r="M1501" s="1241"/>
      <c r="N1501" s="1241"/>
      <c r="O1501" s="1241"/>
      <c r="P1501" s="1241"/>
      <c r="Q1501" s="1241"/>
      <c r="R1501" s="1110"/>
    </row>
    <row r="1502" spans="1:18" s="1239" customFormat="1" ht="16.350000000000001" customHeight="1" outlineLevel="1">
      <c r="A1502" s="1225"/>
      <c r="B1502" s="1246" t="s">
        <v>989</v>
      </c>
      <c r="C1502" s="1194"/>
      <c r="D1502" s="1194">
        <v>-8601093000</v>
      </c>
      <c r="E1502" s="1194">
        <v>-8431919000</v>
      </c>
      <c r="F1502" s="1194">
        <v>-5304566000</v>
      </c>
      <c r="G1502" s="1194">
        <v>-5775802000</v>
      </c>
      <c r="H1502" s="1237">
        <v>-3474682000</v>
      </c>
      <c r="I1502" s="1237">
        <v>-1009488000</v>
      </c>
      <c r="J1502" s="1237">
        <v>-722458000</v>
      </c>
      <c r="K1502" s="1237">
        <v>-815371000</v>
      </c>
      <c r="L1502" s="1238"/>
      <c r="M1502" s="1238"/>
      <c r="N1502" s="1238"/>
      <c r="O1502" s="1238"/>
      <c r="P1502" s="1238"/>
      <c r="Q1502" s="1238"/>
      <c r="R1502" s="1110"/>
    </row>
    <row r="1503" spans="1:18" s="1239" customFormat="1" ht="16.350000000000001" customHeight="1" outlineLevel="1">
      <c r="A1503" s="1225"/>
      <c r="B1503" s="1246" t="s">
        <v>990</v>
      </c>
      <c r="C1503" s="1194"/>
      <c r="D1503" s="1194">
        <v>-3531063000</v>
      </c>
      <c r="E1503" s="1194">
        <v>-3443421000</v>
      </c>
      <c r="F1503" s="1194">
        <v>-4564185000</v>
      </c>
      <c r="G1503" s="1194">
        <v>-3713889000</v>
      </c>
      <c r="H1503" s="1237">
        <v>-2787121000</v>
      </c>
      <c r="I1503" s="1237">
        <v>-2396091000</v>
      </c>
      <c r="J1503" s="1237">
        <v>-1756316000</v>
      </c>
      <c r="K1503" s="1237">
        <v>-1317251000</v>
      </c>
      <c r="L1503" s="1238"/>
      <c r="M1503" s="1238"/>
      <c r="N1503" s="1238"/>
      <c r="O1503" s="1238"/>
      <c r="P1503" s="1238"/>
      <c r="Q1503" s="1238"/>
      <c r="R1503" s="1110"/>
    </row>
    <row r="1504" spans="1:18" s="1239" customFormat="1" ht="16.350000000000001" customHeight="1" outlineLevel="1">
      <c r="A1504" s="1225"/>
      <c r="B1504" s="1246" t="s">
        <v>45</v>
      </c>
      <c r="C1504" s="1194"/>
      <c r="D1504" s="1194">
        <v>-3937790000</v>
      </c>
      <c r="E1504" s="1194">
        <v>-3753860000</v>
      </c>
      <c r="F1504" s="1194">
        <v>-3130748000</v>
      </c>
      <c r="G1504" s="1194">
        <v>-3165931000</v>
      </c>
      <c r="H1504" s="1237">
        <v>-2650240000</v>
      </c>
      <c r="I1504" s="1237">
        <v>-2230624000</v>
      </c>
      <c r="J1504" s="1237">
        <v>-2356745000</v>
      </c>
      <c r="K1504" s="1237">
        <v>-1796832000</v>
      </c>
      <c r="L1504" s="1238"/>
      <c r="M1504" s="1238"/>
      <c r="N1504" s="1238"/>
      <c r="O1504" s="1238"/>
      <c r="P1504" s="1238"/>
      <c r="Q1504" s="1238"/>
      <c r="R1504" s="1110"/>
    </row>
    <row r="1505" spans="1:18" s="1239" customFormat="1" ht="16.350000000000001" customHeight="1" outlineLevel="1">
      <c r="A1505" s="1225"/>
      <c r="B1505" s="1246"/>
      <c r="C1505" s="1218"/>
      <c r="D1505" s="1218"/>
      <c r="E1505" s="1218"/>
      <c r="F1505" s="1218"/>
      <c r="G1505" s="1194"/>
      <c r="H1505" s="1194"/>
      <c r="I1505" s="1194"/>
      <c r="J1505" s="1194"/>
      <c r="K1505" s="1194"/>
      <c r="L1505" s="1238"/>
      <c r="M1505" s="1238"/>
      <c r="N1505" s="1238"/>
      <c r="O1505" s="1238"/>
      <c r="P1505" s="1238"/>
      <c r="Q1505" s="1238"/>
      <c r="R1505" s="1110"/>
    </row>
    <row r="1506" spans="1:18" s="1242" customFormat="1" ht="16.350000000000001" customHeight="1" outlineLevel="1">
      <c r="A1506" s="1225"/>
      <c r="B1506" s="1240" t="s">
        <v>991</v>
      </c>
      <c r="C1506" s="1218"/>
      <c r="D1506" s="1218">
        <v>-234766774000</v>
      </c>
      <c r="E1506" s="1218">
        <f>SUM(E1507:E1519)</f>
        <v>-222963876000</v>
      </c>
      <c r="F1506" s="1218">
        <f t="shared" ref="F1506:K1506" si="175">SUM(F1507:F1519)</f>
        <v>-205078370000</v>
      </c>
      <c r="G1506" s="1218">
        <f t="shared" si="175"/>
        <v>-175792742000</v>
      </c>
      <c r="H1506" s="1180">
        <f>SUM(H1507:H1519)</f>
        <v>-142807238000</v>
      </c>
      <c r="I1506" s="1180">
        <f t="shared" si="175"/>
        <v>-110268674000</v>
      </c>
      <c r="J1506" s="1180">
        <f t="shared" si="175"/>
        <v>-79211181000</v>
      </c>
      <c r="K1506" s="1218">
        <f t="shared" si="175"/>
        <v>-59376199000</v>
      </c>
      <c r="L1506" s="1241"/>
      <c r="M1506" s="1241"/>
      <c r="N1506" s="1241"/>
      <c r="O1506" s="1241"/>
      <c r="P1506" s="1241"/>
      <c r="Q1506" s="1241"/>
      <c r="R1506" s="1110"/>
    </row>
    <row r="1507" spans="1:18" s="1239" customFormat="1" ht="16.350000000000001" customHeight="1" outlineLevel="1">
      <c r="A1507" s="1225"/>
      <c r="B1507" s="1252" t="s">
        <v>84</v>
      </c>
      <c r="C1507" s="1194"/>
      <c r="D1507" s="1194">
        <v>-83622350000</v>
      </c>
      <c r="E1507" s="1194">
        <v>-83737179000</v>
      </c>
      <c r="F1507" s="1194">
        <v>-84088405000</v>
      </c>
      <c r="G1507" s="1194">
        <v>-76727435000</v>
      </c>
      <c r="H1507" s="1237">
        <v>-64952682000</v>
      </c>
      <c r="I1507" s="1237">
        <v>-50586895000</v>
      </c>
      <c r="J1507" s="1237">
        <v>-35627557000</v>
      </c>
      <c r="K1507" s="1237">
        <v>-26747053000</v>
      </c>
      <c r="L1507" s="1238"/>
      <c r="M1507" s="1238"/>
      <c r="N1507" s="1238"/>
      <c r="O1507" s="1238"/>
      <c r="P1507" s="1238"/>
      <c r="Q1507" s="1238"/>
      <c r="R1507" s="1110"/>
    </row>
    <row r="1508" spans="1:18" s="1239" customFormat="1" ht="16.350000000000001" customHeight="1" outlineLevel="1">
      <c r="A1508" s="1225"/>
      <c r="B1508" s="1252" t="s">
        <v>269</v>
      </c>
      <c r="C1508" s="1194"/>
      <c r="D1508" s="1194">
        <v>-24210938000</v>
      </c>
      <c r="E1508" s="1194">
        <v>-24068867000</v>
      </c>
      <c r="F1508" s="1194">
        <v>-24129635000</v>
      </c>
      <c r="G1508" s="1194">
        <v>-22021644000</v>
      </c>
      <c r="H1508" s="1237">
        <v>-18515350000</v>
      </c>
      <c r="I1508" s="1237">
        <v>-14469056000</v>
      </c>
      <c r="J1508" s="1237">
        <v>-10200749000</v>
      </c>
      <c r="K1508" s="1237">
        <v>-8479186000</v>
      </c>
      <c r="L1508" s="1238"/>
      <c r="M1508" s="1238"/>
      <c r="N1508" s="1238"/>
      <c r="O1508" s="1238"/>
      <c r="P1508" s="1238"/>
      <c r="Q1508" s="1238"/>
      <c r="R1508" s="1110"/>
    </row>
    <row r="1509" spans="1:18" s="1239" customFormat="1" ht="16.350000000000001" customHeight="1" outlineLevel="1">
      <c r="A1509" s="1225"/>
      <c r="B1509" s="1252" t="s">
        <v>173</v>
      </c>
      <c r="C1509" s="1194"/>
      <c r="D1509" s="1194">
        <v>-21273518000</v>
      </c>
      <c r="E1509" s="1194">
        <v>-19591019000</v>
      </c>
      <c r="F1509" s="1194">
        <f>-56442264000-F1510</f>
        <v>-17970864000</v>
      </c>
      <c r="G1509" s="1194">
        <v>-13826199000</v>
      </c>
      <c r="H1509" s="1237">
        <v>-10709736000</v>
      </c>
      <c r="I1509" s="1194">
        <f>-23128557000-I1510</f>
        <v>-8171457000</v>
      </c>
      <c r="J1509" s="1194">
        <v>-5959416000</v>
      </c>
      <c r="K1509" s="1237">
        <v>-4709508000</v>
      </c>
      <c r="L1509" s="1238"/>
      <c r="M1509" s="1238"/>
      <c r="N1509" s="1238"/>
      <c r="O1509" s="1238"/>
      <c r="P1509" s="1238"/>
      <c r="Q1509" s="1238"/>
      <c r="R1509" s="1110"/>
    </row>
    <row r="1510" spans="1:18" s="1239" customFormat="1" ht="16.350000000000001" customHeight="1" outlineLevel="1">
      <c r="A1510" s="1225"/>
      <c r="B1510" s="1252" t="s">
        <v>172</v>
      </c>
      <c r="C1510" s="1194"/>
      <c r="D1510" s="1194">
        <v>-51209005000</v>
      </c>
      <c r="E1510" s="1194">
        <v>-45323021000</v>
      </c>
      <c r="F1510" s="1194">
        <v>-38471400000</v>
      </c>
      <c r="G1510" s="1194">
        <v>-30176990000</v>
      </c>
      <c r="H1510" s="1237">
        <v>-20573830000</v>
      </c>
      <c r="I1510" s="1237">
        <v>-14957100000</v>
      </c>
      <c r="J1510" s="1237">
        <v>-10390282000</v>
      </c>
      <c r="K1510" s="1237">
        <v>-7032829000</v>
      </c>
      <c r="L1510" s="1238"/>
      <c r="M1510" s="1238"/>
      <c r="N1510" s="1238"/>
      <c r="O1510" s="1238"/>
      <c r="P1510" s="1238"/>
      <c r="Q1510" s="1238"/>
      <c r="R1510" s="1110"/>
    </row>
    <row r="1511" spans="1:18" s="1239" customFormat="1" ht="16.350000000000001" customHeight="1" outlineLevel="1">
      <c r="A1511" s="1225"/>
      <c r="B1511" s="1252" t="s">
        <v>45</v>
      </c>
      <c r="C1511" s="1194"/>
      <c r="D1511" s="1194">
        <v>-31583532000</v>
      </c>
      <c r="E1511" s="1194">
        <v>-29193500000</v>
      </c>
      <c r="F1511" s="1194">
        <v>-21951064000</v>
      </c>
      <c r="G1511" s="1194">
        <v>-17351480000</v>
      </c>
      <c r="H1511" s="1237">
        <v>-14553841000</v>
      </c>
      <c r="I1511" s="1237">
        <v>-11650600000</v>
      </c>
      <c r="J1511" s="1237">
        <v>-8668743000</v>
      </c>
      <c r="K1511" s="1237">
        <v>-6025410000</v>
      </c>
      <c r="L1511" s="1238"/>
      <c r="M1511" s="1238"/>
      <c r="N1511" s="1238"/>
      <c r="O1511" s="1238"/>
      <c r="P1511" s="1238"/>
      <c r="Q1511" s="1238"/>
      <c r="R1511" s="1110"/>
    </row>
    <row r="1512" spans="1:18" s="1245" customFormat="1" ht="16.350000000000001" customHeight="1" outlineLevel="1">
      <c r="A1512" s="1225"/>
      <c r="B1512" s="1252" t="s">
        <v>67</v>
      </c>
      <c r="C1512" s="1194"/>
      <c r="D1512" s="1194">
        <v>-996116000</v>
      </c>
      <c r="E1512" s="1194">
        <v>-768342000</v>
      </c>
      <c r="F1512" s="1194">
        <v>-605866000</v>
      </c>
      <c r="G1512" s="1194">
        <f>G1582*-1</f>
        <v>-510829000</v>
      </c>
      <c r="H1512" s="1237">
        <f>H1582*-1</f>
        <v>-345452000</v>
      </c>
      <c r="I1512" s="1237">
        <f>I1582*-1</f>
        <v>-293881000</v>
      </c>
      <c r="J1512" s="1237">
        <f>J1582*-1</f>
        <v>-244177000</v>
      </c>
      <c r="K1512" s="1237">
        <f>K1582*-1</f>
        <v>-157688000</v>
      </c>
      <c r="L1512" s="1244"/>
      <c r="M1512" s="1244"/>
      <c r="N1512" s="1244"/>
      <c r="O1512" s="1244"/>
      <c r="P1512" s="1244"/>
      <c r="Q1512" s="1244"/>
      <c r="R1512" s="1110"/>
    </row>
    <row r="1513" spans="1:18" s="1239" customFormat="1" ht="16.350000000000001" customHeight="1" outlineLevel="1">
      <c r="A1513" s="1225"/>
      <c r="B1513" s="1252" t="s">
        <v>992</v>
      </c>
      <c r="C1513" s="1194"/>
      <c r="D1513" s="1194">
        <v>-4420757000</v>
      </c>
      <c r="E1513" s="1194">
        <v>-5040869000</v>
      </c>
      <c r="F1513" s="1194">
        <v>-4348903000</v>
      </c>
      <c r="G1513" s="1194">
        <v>-3344156000</v>
      </c>
      <c r="H1513" s="1237">
        <v>-3377499000</v>
      </c>
      <c r="I1513" s="1237">
        <v>-1946429000</v>
      </c>
      <c r="J1513" s="1237">
        <v>-1339548000</v>
      </c>
      <c r="K1513" s="1237">
        <v>-1081742000</v>
      </c>
      <c r="L1513" s="1238"/>
      <c r="M1513" s="1238"/>
      <c r="N1513" s="1238"/>
      <c r="O1513" s="1238"/>
      <c r="P1513" s="1238"/>
      <c r="Q1513" s="1238"/>
      <c r="R1513" s="1110"/>
    </row>
    <row r="1514" spans="1:18" s="1239" customFormat="1" ht="16.350000000000001" customHeight="1" outlineLevel="1">
      <c r="A1514" s="1225"/>
      <c r="B1514" s="1252" t="s">
        <v>993</v>
      </c>
      <c r="C1514" s="1194"/>
      <c r="D1514" s="1194">
        <v>-3804346000</v>
      </c>
      <c r="E1514" s="1194">
        <v>-3399198000</v>
      </c>
      <c r="F1514" s="1194">
        <v>-3195321000</v>
      </c>
      <c r="G1514" s="1194">
        <v>-3049096000</v>
      </c>
      <c r="H1514" s="1237">
        <v>-2935396000</v>
      </c>
      <c r="I1514" s="1237">
        <v>-2681116000</v>
      </c>
      <c r="J1514" s="1237">
        <v>-2159166000</v>
      </c>
      <c r="K1514" s="1237">
        <v>-1523706000</v>
      </c>
      <c r="L1514" s="1238"/>
      <c r="M1514" s="1238"/>
      <c r="N1514" s="1238"/>
      <c r="O1514" s="1238"/>
      <c r="P1514" s="1238"/>
      <c r="Q1514" s="1238"/>
      <c r="R1514" s="1110"/>
    </row>
    <row r="1515" spans="1:18" s="1239" customFormat="1" ht="16.350000000000001" customHeight="1" outlineLevel="1">
      <c r="A1515" s="1225"/>
      <c r="B1515" s="1252" t="s">
        <v>994</v>
      </c>
      <c r="C1515" s="1194"/>
      <c r="D1515" s="1194">
        <v>-6058852000</v>
      </c>
      <c r="E1515" s="1194">
        <v>-4466211000</v>
      </c>
      <c r="F1515" s="1194">
        <v>-3523769000</v>
      </c>
      <c r="G1515" s="1194">
        <v>-2733467000</v>
      </c>
      <c r="H1515" s="1237">
        <v>-1890836000</v>
      </c>
      <c r="I1515" s="1237">
        <v>-1358652000</v>
      </c>
      <c r="J1515" s="1237">
        <v>-990454000</v>
      </c>
      <c r="K1515" s="1237">
        <v>-799082000</v>
      </c>
      <c r="L1515" s="1238"/>
      <c r="M1515" s="1238"/>
      <c r="N1515" s="1238"/>
      <c r="O1515" s="1238"/>
      <c r="P1515" s="1238"/>
      <c r="Q1515" s="1238"/>
      <c r="R1515" s="1110"/>
    </row>
    <row r="1516" spans="1:18" s="1239" customFormat="1" ht="16.350000000000001" customHeight="1" outlineLevel="1">
      <c r="A1516" s="1225"/>
      <c r="B1516" s="1252" t="s">
        <v>90</v>
      </c>
      <c r="C1516" s="1194"/>
      <c r="D1516" s="1194">
        <v>-1551342000</v>
      </c>
      <c r="E1516" s="1194">
        <v>-1278960000</v>
      </c>
      <c r="F1516" s="1194">
        <v>-966844000</v>
      </c>
      <c r="G1516" s="1194">
        <v>-776661000</v>
      </c>
      <c r="H1516" s="1237">
        <v>-633358000</v>
      </c>
      <c r="I1516" s="1237">
        <v>-628383000</v>
      </c>
      <c r="J1516" s="1237">
        <v>-505997000</v>
      </c>
      <c r="K1516" s="1237">
        <v>-393877000</v>
      </c>
      <c r="L1516" s="1238"/>
      <c r="M1516" s="1238"/>
      <c r="N1516" s="1238"/>
      <c r="O1516" s="1238"/>
      <c r="P1516" s="1238"/>
      <c r="Q1516" s="1238"/>
      <c r="R1516" s="1110"/>
    </row>
    <row r="1517" spans="1:18" s="1239" customFormat="1" ht="16.350000000000001" customHeight="1" outlineLevel="1">
      <c r="A1517" s="1225"/>
      <c r="B1517" s="1252" t="s">
        <v>995</v>
      </c>
      <c r="C1517" s="1194"/>
      <c r="D1517" s="1194">
        <v>-600813000</v>
      </c>
      <c r="E1517" s="1194">
        <v>-34843000</v>
      </c>
      <c r="F1517" s="1194">
        <v>2233000</v>
      </c>
      <c r="G1517" s="1194">
        <v>-680565000</v>
      </c>
      <c r="H1517" s="1237">
        <v>-580523000</v>
      </c>
      <c r="I1517" s="1237">
        <v>-526944000</v>
      </c>
      <c r="J1517" s="1237">
        <v>-450240000</v>
      </c>
      <c r="K1517" s="1237">
        <v>-539687000</v>
      </c>
      <c r="L1517" s="1238"/>
      <c r="M1517" s="1238"/>
      <c r="N1517" s="1238"/>
      <c r="O1517" s="1238"/>
      <c r="P1517" s="1238"/>
      <c r="Q1517" s="1238"/>
      <c r="R1517" s="1110"/>
    </row>
    <row r="1518" spans="1:18" s="1239" customFormat="1" ht="16.350000000000001" customHeight="1" outlineLevel="1">
      <c r="A1518" s="1225"/>
      <c r="B1518" s="1252" t="s">
        <v>996</v>
      </c>
      <c r="C1518" s="1194"/>
      <c r="D1518" s="1194">
        <v>97118000</v>
      </c>
      <c r="E1518" s="1194">
        <v>-129225000</v>
      </c>
      <c r="F1518" s="1194">
        <v>9548000</v>
      </c>
      <c r="G1518" s="1194">
        <v>-107300000</v>
      </c>
      <c r="H1518" s="1237">
        <v>-113217000</v>
      </c>
      <c r="I1518" s="1237">
        <v>-71030000</v>
      </c>
      <c r="J1518" s="1237">
        <v>-123014000</v>
      </c>
      <c r="K1518" s="1237">
        <v>18866000</v>
      </c>
      <c r="L1518" s="1238"/>
      <c r="M1518" s="1238"/>
      <c r="N1518" s="1238"/>
      <c r="O1518" s="1238"/>
      <c r="P1518" s="1238"/>
      <c r="Q1518" s="1238"/>
      <c r="R1518" s="1110"/>
    </row>
    <row r="1519" spans="1:18" s="1245" customFormat="1" ht="16.350000000000001" customHeight="1" outlineLevel="1">
      <c r="A1519" s="1225"/>
      <c r="B1519" s="1252" t="s">
        <v>274</v>
      </c>
      <c r="C1519" s="1194"/>
      <c r="D1519" s="1194">
        <v>-5532323000</v>
      </c>
      <c r="E1519" s="1194">
        <v>-5932642000</v>
      </c>
      <c r="F1519" s="1194">
        <v>-5838080000</v>
      </c>
      <c r="G1519" s="1194">
        <f>(4997749000+G1512)*-1</f>
        <v>-4486920000</v>
      </c>
      <c r="H1519" s="1237">
        <f>(3970970000+H1512)*-1</f>
        <v>-3625518000</v>
      </c>
      <c r="I1519" s="1237">
        <f>(3221012000+I1512)*-1</f>
        <v>-2927131000</v>
      </c>
      <c r="J1519" s="1237">
        <f>+(2796015000+J1512)*-1</f>
        <v>-2551838000</v>
      </c>
      <c r="K1519" s="1237">
        <f>(2062985000+K1512)*-1</f>
        <v>-1905297000</v>
      </c>
      <c r="L1519" s="1244"/>
      <c r="M1519" s="1244"/>
      <c r="N1519" s="1244"/>
      <c r="O1519" s="1244"/>
      <c r="P1519" s="1244"/>
      <c r="Q1519" s="1244"/>
      <c r="R1519" s="1110"/>
    </row>
    <row r="1520" spans="1:18" s="266" customFormat="1" ht="16.350000000000001" customHeight="1" outlineLevel="1">
      <c r="A1520" s="1225"/>
      <c r="B1520" s="1177" t="s">
        <v>997</v>
      </c>
      <c r="C1520" s="1218"/>
      <c r="D1520" s="1218">
        <f>D1501+D1506</f>
        <v>-250836720000</v>
      </c>
      <c r="E1520" s="1218">
        <f>E1501+E1506</f>
        <v>-238593076000</v>
      </c>
      <c r="F1520" s="1218">
        <f t="shared" ref="F1520:K1520" si="176">F1501+F1506</f>
        <v>-218077869000</v>
      </c>
      <c r="G1520" s="1218">
        <f t="shared" si="176"/>
        <v>-188448364000</v>
      </c>
      <c r="H1520" s="1180">
        <f t="shared" si="176"/>
        <v>-151719281000</v>
      </c>
      <c r="I1520" s="1180">
        <f t="shared" si="176"/>
        <v>-115904877000</v>
      </c>
      <c r="J1520" s="1180">
        <f t="shared" si="176"/>
        <v>-84046700000</v>
      </c>
      <c r="K1520" s="1180">
        <f t="shared" si="176"/>
        <v>-63305653000</v>
      </c>
      <c r="L1520" s="1180"/>
      <c r="M1520" s="1180"/>
      <c r="N1520" s="1180"/>
      <c r="O1520" s="1180"/>
      <c r="P1520" s="1180"/>
      <c r="Q1520" s="1180"/>
      <c r="R1520" s="1110"/>
    </row>
    <row r="1521" spans="1:18" s="266" customFormat="1" ht="16.350000000000001" customHeight="1" outlineLevel="1">
      <c r="A1521" s="1225"/>
      <c r="B1521" s="1177"/>
      <c r="C1521" s="1218"/>
      <c r="D1521" s="1218"/>
      <c r="E1521" s="1218"/>
      <c r="F1521" s="1218"/>
      <c r="G1521" s="1218"/>
      <c r="H1521" s="1180"/>
      <c r="I1521" s="1180"/>
      <c r="J1521" s="1180"/>
      <c r="K1521" s="1180"/>
      <c r="L1521" s="1180"/>
      <c r="M1521" s="1180"/>
      <c r="N1521" s="1180"/>
      <c r="O1521" s="1180"/>
      <c r="P1521" s="1180"/>
      <c r="Q1521" s="1180"/>
      <c r="R1521" s="1110"/>
    </row>
    <row r="1522" spans="1:18" s="266" customFormat="1" ht="16.350000000000001" customHeight="1" outlineLevel="1">
      <c r="A1522" s="1225"/>
      <c r="B1522" s="1177" t="s">
        <v>998</v>
      </c>
      <c r="C1522" s="1218"/>
      <c r="D1522" s="1218">
        <f>D1520+D1493</f>
        <v>45610444000</v>
      </c>
      <c r="E1522" s="1218">
        <f>E1520+E1493</f>
        <v>50904473000</v>
      </c>
      <c r="F1522" s="1218">
        <f t="shared" ref="F1522:K1522" si="177">F1493+F1520</f>
        <v>77681140000</v>
      </c>
      <c r="G1522" s="1218">
        <f t="shared" si="177"/>
        <v>82372442000</v>
      </c>
      <c r="H1522" s="1180">
        <f t="shared" si="177"/>
        <v>68801282000</v>
      </c>
      <c r="I1522" s="1180">
        <f t="shared" si="177"/>
        <v>49358117000</v>
      </c>
      <c r="J1522" s="1180">
        <f t="shared" si="177"/>
        <v>35005088000</v>
      </c>
      <c r="K1522" s="1180">
        <f t="shared" si="177"/>
        <v>18357800000</v>
      </c>
      <c r="L1522" s="1180"/>
      <c r="M1522" s="1180"/>
      <c r="N1522" s="1180"/>
      <c r="O1522" s="1180"/>
      <c r="P1522" s="1180"/>
      <c r="Q1522" s="1180"/>
      <c r="R1522" s="1110"/>
    </row>
    <row r="1523" spans="1:18" s="1248" customFormat="1" ht="16.350000000000001" customHeight="1" outlineLevel="1">
      <c r="A1523" s="1225"/>
      <c r="B1523" s="1253"/>
      <c r="C1523" s="1194"/>
      <c r="D1523" s="1194"/>
      <c r="E1523" s="1194"/>
      <c r="F1523" s="1194"/>
      <c r="G1523" s="1194"/>
      <c r="H1523" s="1237"/>
      <c r="I1523" s="1237"/>
      <c r="J1523" s="1237"/>
      <c r="K1523" s="1237"/>
      <c r="L1523" s="1237"/>
      <c r="M1523" s="1237"/>
      <c r="N1523" s="1237"/>
      <c r="O1523" s="1237"/>
      <c r="P1523" s="1237"/>
      <c r="Q1523" s="1237"/>
      <c r="R1523" s="1110"/>
    </row>
    <row r="1524" spans="1:18" s="1229" customFormat="1" ht="16.350000000000001" customHeight="1" outlineLevel="1">
      <c r="A1524" s="1225"/>
      <c r="B1524" s="1249" t="s">
        <v>999</v>
      </c>
      <c r="C1524" s="1227"/>
      <c r="D1524" s="1227">
        <f>D1525+D1526+D1527+D1573-D1549</f>
        <v>53413251000</v>
      </c>
      <c r="E1524" s="1227">
        <f t="shared" ref="E1524:K1524" si="178">E1525+E1526+E1527+E1573-E1549</f>
        <v>57928258000</v>
      </c>
      <c r="F1524" s="1227">
        <f t="shared" si="178"/>
        <v>80828359000</v>
      </c>
      <c r="G1524" s="1227">
        <f t="shared" si="178"/>
        <v>85489225000</v>
      </c>
      <c r="H1524" s="1227">
        <f t="shared" si="178"/>
        <v>71114185000</v>
      </c>
      <c r="I1524" s="1227">
        <f t="shared" si="178"/>
        <v>50887910000</v>
      </c>
      <c r="J1524" s="1227">
        <f t="shared" si="178"/>
        <v>35994721000</v>
      </c>
      <c r="K1524" s="1227">
        <f t="shared" si="178"/>
        <v>19585033000</v>
      </c>
      <c r="L1524" s="1227"/>
      <c r="M1524" s="1227"/>
      <c r="N1524" s="1227"/>
      <c r="O1524" s="1227"/>
      <c r="P1524" s="1227"/>
      <c r="Q1524" s="1227"/>
      <c r="R1524" s="1110"/>
    </row>
    <row r="1525" spans="1:18" s="270" customFormat="1" ht="16.350000000000001" customHeight="1" outlineLevel="1">
      <c r="A1525" s="1225"/>
      <c r="B1525" s="1250" t="s">
        <v>275</v>
      </c>
      <c r="C1525" s="1251"/>
      <c r="D1525" s="1251">
        <v>-210316000</v>
      </c>
      <c r="E1525" s="1251">
        <v>-340714000</v>
      </c>
      <c r="F1525" s="1251">
        <v>-106254000</v>
      </c>
      <c r="G1525" s="1251">
        <f>G1538*-1</f>
        <v>-225664000</v>
      </c>
      <c r="H1525" s="1251">
        <f>H1538*-1</f>
        <v>-372490000</v>
      </c>
      <c r="I1525" s="1251">
        <f>I1538*-1</f>
        <v>-186610000</v>
      </c>
      <c r="J1525" s="1251">
        <f>J1538*-1</f>
        <v>-257645000</v>
      </c>
      <c r="K1525" s="1251">
        <f>K1538*-1</f>
        <v>-285882000</v>
      </c>
      <c r="L1525" s="1251"/>
      <c r="M1525" s="1251"/>
      <c r="N1525" s="1251"/>
      <c r="O1525" s="1251"/>
      <c r="P1525" s="1251"/>
      <c r="Q1525" s="1251"/>
      <c r="R1525" s="1110"/>
    </row>
    <row r="1526" spans="1:18" s="270" customFormat="1" ht="16.350000000000001" customHeight="1" outlineLevel="1">
      <c r="A1526" s="1225"/>
      <c r="B1526" s="1250" t="s">
        <v>273</v>
      </c>
      <c r="C1526" s="1251"/>
      <c r="D1526" s="1251">
        <v>9136262000</v>
      </c>
      <c r="E1526" s="1251">
        <v>12978882000</v>
      </c>
      <c r="F1526" s="1251">
        <v>13293675000</v>
      </c>
      <c r="G1526" s="1251">
        <f>G1529*-1</f>
        <v>11885958000</v>
      </c>
      <c r="H1526" s="1251">
        <f>H1529*-1</f>
        <v>6645959000</v>
      </c>
      <c r="I1526" s="1251">
        <f>I1529*-1</f>
        <v>4969440000</v>
      </c>
      <c r="J1526" s="1251">
        <f>J1529*-1</f>
        <v>4055418000</v>
      </c>
      <c r="K1526" s="1251">
        <f>K1529*-1</f>
        <v>3419781000</v>
      </c>
      <c r="L1526" s="1251"/>
      <c r="M1526" s="1251"/>
      <c r="N1526" s="1251"/>
      <c r="O1526" s="1251"/>
      <c r="P1526" s="1251"/>
      <c r="Q1526" s="1251"/>
      <c r="R1526" s="1110"/>
    </row>
    <row r="1527" spans="1:18" s="270" customFormat="1" ht="16.350000000000001" customHeight="1" outlineLevel="1">
      <c r="A1527" s="1225"/>
      <c r="B1527" s="1250" t="s">
        <v>277</v>
      </c>
      <c r="C1527" s="1251"/>
      <c r="D1527" s="1251">
        <v>9207471000</v>
      </c>
      <c r="E1527" s="1251">
        <v>9884798000</v>
      </c>
      <c r="F1527" s="1251">
        <v>14370968000</v>
      </c>
      <c r="G1527" s="1251">
        <f>G1564*-1</f>
        <v>12134715000</v>
      </c>
      <c r="H1527" s="1251">
        <f>H1564*-1</f>
        <v>14340690000</v>
      </c>
      <c r="I1527" s="1251">
        <f>I1564*-1</f>
        <v>10133672000</v>
      </c>
      <c r="J1527" s="1251">
        <f>J1564*-1</f>
        <v>7195828000</v>
      </c>
      <c r="K1527" s="1251">
        <f>K1564*-1</f>
        <v>4186477000</v>
      </c>
      <c r="L1527" s="1251"/>
      <c r="M1527" s="1251"/>
      <c r="N1527" s="1251"/>
      <c r="O1527" s="1251"/>
      <c r="P1527" s="1251"/>
      <c r="Q1527" s="1251"/>
      <c r="R1527" s="1110"/>
    </row>
    <row r="1528" spans="1:18" s="1248" customFormat="1" ht="16.350000000000001" customHeight="1" outlineLevel="1">
      <c r="A1528" s="1225"/>
      <c r="B1528" s="1253"/>
      <c r="C1528" s="1194"/>
      <c r="D1528" s="1194"/>
      <c r="E1528" s="1194"/>
      <c r="F1528" s="1194"/>
      <c r="G1528" s="1194"/>
      <c r="H1528" s="1237"/>
      <c r="I1528" s="1237"/>
      <c r="J1528" s="1237"/>
      <c r="K1528" s="1237"/>
      <c r="L1528" s="1237"/>
      <c r="M1528" s="1237"/>
      <c r="N1528" s="1237"/>
      <c r="O1528" s="1237"/>
      <c r="P1528" s="1237"/>
      <c r="Q1528" s="1237"/>
      <c r="R1528" s="1110"/>
    </row>
    <row r="1529" spans="1:18" s="1255" customFormat="1" ht="16.350000000000001" customHeight="1" outlineLevel="1">
      <c r="A1529" s="1225"/>
      <c r="B1529" s="1254" t="s">
        <v>273</v>
      </c>
      <c r="C1529" s="1194"/>
      <c r="D1529" s="1194">
        <f>-D1526</f>
        <v>-9136262000</v>
      </c>
      <c r="E1529" s="1194">
        <v>-12978882000</v>
      </c>
      <c r="F1529" s="1194">
        <f t="shared" ref="F1529:K1529" si="179">F1533+F1534</f>
        <v>-13293675000</v>
      </c>
      <c r="G1529" s="1194">
        <f t="shared" si="179"/>
        <v>-11885958000</v>
      </c>
      <c r="H1529" s="1237">
        <f t="shared" si="179"/>
        <v>-6645959000</v>
      </c>
      <c r="I1529" s="1237">
        <f t="shared" si="179"/>
        <v>-4969440000</v>
      </c>
      <c r="J1529" s="1237">
        <f t="shared" si="179"/>
        <v>-4055418000</v>
      </c>
      <c r="K1529" s="1194">
        <f t="shared" si="179"/>
        <v>-3419781000</v>
      </c>
      <c r="L1529" s="1195"/>
      <c r="M1529" s="1195"/>
      <c r="N1529" s="1195"/>
      <c r="O1529" s="1195"/>
      <c r="P1529" s="1195"/>
      <c r="Q1529" s="1195"/>
      <c r="R1529" s="1110"/>
    </row>
    <row r="1530" spans="1:18" s="1239" customFormat="1" ht="16.350000000000001" customHeight="1" outlineLevel="1">
      <c r="A1530" s="1225"/>
      <c r="B1530" s="1256" t="s">
        <v>1000</v>
      </c>
      <c r="C1530" s="1194"/>
      <c r="D1530" s="1194">
        <v>-8955433000</v>
      </c>
      <c r="E1530" s="1194">
        <v>-9918532000</v>
      </c>
      <c r="F1530" s="1194">
        <v>-7990066000</v>
      </c>
      <c r="G1530" s="1194">
        <v>-9244326000</v>
      </c>
      <c r="H1530" s="1237">
        <v>-5125117000</v>
      </c>
      <c r="I1530" s="1237">
        <v>-2770911000</v>
      </c>
      <c r="J1530" s="1237">
        <v>-2922655000</v>
      </c>
      <c r="K1530" s="1237">
        <v>-2123747000</v>
      </c>
      <c r="L1530" s="1238"/>
      <c r="M1530" s="1238"/>
      <c r="N1530" s="1238"/>
      <c r="O1530" s="1238"/>
      <c r="P1530" s="1238"/>
      <c r="Q1530" s="1238"/>
      <c r="R1530" s="1110"/>
    </row>
    <row r="1531" spans="1:18" s="1239" customFormat="1" ht="16.350000000000001" customHeight="1" outlineLevel="1">
      <c r="A1531" s="1225"/>
      <c r="B1531" s="1256" t="s">
        <v>1001</v>
      </c>
      <c r="C1531" s="1194"/>
      <c r="D1531" s="1194">
        <v>-469054000</v>
      </c>
      <c r="E1531" s="1194">
        <v>-3943377000</v>
      </c>
      <c r="F1531" s="1194">
        <v>-5894656000</v>
      </c>
      <c r="G1531" s="1194">
        <v>-3267219000</v>
      </c>
      <c r="H1531" s="1237">
        <v>-1905791000</v>
      </c>
      <c r="I1531" s="1237">
        <v>-2553043000</v>
      </c>
      <c r="J1531" s="1237">
        <v>-1478373000</v>
      </c>
      <c r="K1531" s="1237">
        <v>-1503395000</v>
      </c>
      <c r="L1531" s="1238"/>
      <c r="M1531" s="1238"/>
      <c r="N1531" s="1238"/>
      <c r="O1531" s="1238"/>
      <c r="P1531" s="1238"/>
      <c r="Q1531" s="1238"/>
      <c r="R1531" s="1110"/>
    </row>
    <row r="1532" spans="1:18" s="1239" customFormat="1" ht="16.350000000000001" customHeight="1" outlineLevel="1">
      <c r="A1532" s="1225"/>
      <c r="B1532" s="1256" t="s">
        <v>1002</v>
      </c>
      <c r="C1532" s="1194"/>
      <c r="D1532" s="1194"/>
      <c r="E1532" s="1194"/>
      <c r="F1532" s="1194"/>
      <c r="G1532" s="1194">
        <v>0</v>
      </c>
      <c r="H1532" s="1237">
        <v>0</v>
      </c>
      <c r="I1532" s="1237">
        <v>-195000</v>
      </c>
      <c r="J1532" s="1237">
        <v>-11675000</v>
      </c>
      <c r="K1532" s="1237">
        <v>-57809000</v>
      </c>
      <c r="L1532" s="1238"/>
      <c r="M1532" s="1238"/>
      <c r="N1532" s="1238"/>
      <c r="O1532" s="1238"/>
      <c r="P1532" s="1238"/>
      <c r="Q1532" s="1238"/>
      <c r="R1532" s="1110"/>
    </row>
    <row r="1533" spans="1:18" s="1245" customFormat="1" ht="16.350000000000001" customHeight="1" outlineLevel="1">
      <c r="A1533" s="1225"/>
      <c r="B1533" s="1243" t="s">
        <v>1003</v>
      </c>
      <c r="C1533" s="1194"/>
      <c r="D1533" s="1194">
        <f>D1530+D1531+D1532</f>
        <v>-9424487000</v>
      </c>
      <c r="E1533" s="1194">
        <v>-13861909000</v>
      </c>
      <c r="F1533" s="1194">
        <f>F1530+F1531</f>
        <v>-13884722000</v>
      </c>
      <c r="G1533" s="1194">
        <f>G1530+G1531+G1532</f>
        <v>-12511545000</v>
      </c>
      <c r="H1533" s="1237">
        <f>H1530+H1531+H1532</f>
        <v>-7030908000</v>
      </c>
      <c r="I1533" s="1237">
        <f>I1530+I1531+I1532</f>
        <v>-5324149000</v>
      </c>
      <c r="J1533" s="1237">
        <f>J1530+J1531+J1532</f>
        <v>-4412703000</v>
      </c>
      <c r="K1533" s="1237">
        <f>K1530+K1531+K1532</f>
        <v>-3684951000</v>
      </c>
      <c r="L1533" s="1244"/>
      <c r="M1533" s="1244"/>
      <c r="N1533" s="1244"/>
      <c r="O1533" s="1244"/>
      <c r="P1533" s="1244"/>
      <c r="Q1533" s="1244"/>
      <c r="R1533" s="1110"/>
    </row>
    <row r="1534" spans="1:18" s="1239" customFormat="1" ht="16.350000000000001" customHeight="1" outlineLevel="1">
      <c r="A1534" s="1225"/>
      <c r="B1534" s="1256" t="s">
        <v>1004</v>
      </c>
      <c r="C1534" s="1194"/>
      <c r="D1534" s="1194">
        <v>288225000</v>
      </c>
      <c r="E1534" s="1194">
        <v>883027000</v>
      </c>
      <c r="F1534" s="1194">
        <v>591047000</v>
      </c>
      <c r="G1534" s="1194">
        <v>625587000</v>
      </c>
      <c r="H1534" s="1237">
        <v>384949000</v>
      </c>
      <c r="I1534" s="1237">
        <v>354709000</v>
      </c>
      <c r="J1534" s="1237">
        <v>357285000</v>
      </c>
      <c r="K1534" s="1237">
        <v>265170000</v>
      </c>
      <c r="L1534" s="1238"/>
      <c r="M1534" s="1238"/>
      <c r="N1534" s="1238"/>
      <c r="O1534" s="1238"/>
      <c r="P1534" s="1238"/>
      <c r="Q1534" s="1238"/>
      <c r="R1534" s="1110"/>
    </row>
    <row r="1535" spans="1:18" s="1239" customFormat="1" ht="16.350000000000001" customHeight="1" outlineLevel="1">
      <c r="A1535" s="1225"/>
      <c r="B1535" s="1256"/>
      <c r="C1535" s="1194"/>
      <c r="D1535" s="1194"/>
      <c r="E1535" s="1194"/>
      <c r="F1535" s="1194"/>
      <c r="G1535" s="1194"/>
      <c r="H1535" s="1237"/>
      <c r="I1535" s="1237"/>
      <c r="J1535" s="1237"/>
      <c r="K1535" s="1237"/>
      <c r="L1535" s="1238"/>
      <c r="M1535" s="1238"/>
      <c r="N1535" s="1238"/>
      <c r="O1535" s="1238"/>
      <c r="P1535" s="1238"/>
      <c r="Q1535" s="1238"/>
      <c r="R1535" s="1110"/>
    </row>
    <row r="1536" spans="1:18" s="1239" customFormat="1" ht="16.350000000000001" customHeight="1" outlineLevel="1">
      <c r="A1536" s="1225"/>
      <c r="B1536" s="1236" t="s">
        <v>274</v>
      </c>
      <c r="C1536" s="1194"/>
      <c r="D1536" s="1194">
        <v>-907548000</v>
      </c>
      <c r="E1536" s="1194">
        <v>-735488000</v>
      </c>
      <c r="F1536" s="1194">
        <v>-888894000</v>
      </c>
      <c r="G1536" s="1194">
        <v>-843512000</v>
      </c>
      <c r="H1536" s="1237">
        <v>-578587000</v>
      </c>
      <c r="I1536" s="1237">
        <v>-374264000</v>
      </c>
      <c r="J1536" s="1237">
        <v>-297553000</v>
      </c>
      <c r="K1536" s="1237">
        <v>-189263000</v>
      </c>
      <c r="L1536" s="1238"/>
      <c r="M1536" s="1238"/>
      <c r="N1536" s="1238"/>
      <c r="O1536" s="1238"/>
      <c r="P1536" s="1238"/>
      <c r="Q1536" s="1238"/>
      <c r="R1536" s="1110"/>
    </row>
    <row r="1537" spans="1:18" s="1239" customFormat="1" ht="16.350000000000001" customHeight="1" outlineLevel="1">
      <c r="A1537" s="1225"/>
      <c r="B1537" s="1236"/>
      <c r="C1537" s="1194"/>
      <c r="D1537" s="1194"/>
      <c r="E1537" s="1194"/>
      <c r="F1537" s="1194"/>
      <c r="G1537" s="1194"/>
      <c r="H1537" s="1237"/>
      <c r="I1537" s="1237"/>
      <c r="J1537" s="1237"/>
      <c r="K1537" s="1237"/>
      <c r="L1537" s="1238"/>
      <c r="M1537" s="1238"/>
      <c r="N1537" s="1238"/>
      <c r="O1537" s="1238"/>
      <c r="P1537" s="1238"/>
      <c r="Q1537" s="1238"/>
      <c r="R1537" s="1110"/>
    </row>
    <row r="1538" spans="1:18" s="1239" customFormat="1" ht="16.350000000000001" customHeight="1" outlineLevel="1">
      <c r="A1538" s="1225"/>
      <c r="B1538" s="1236" t="s">
        <v>275</v>
      </c>
      <c r="C1538" s="1194"/>
      <c r="D1538" s="1194">
        <v>210316000</v>
      </c>
      <c r="E1538" s="1194">
        <v>340714000</v>
      </c>
      <c r="F1538" s="1194">
        <v>106254000</v>
      </c>
      <c r="G1538" s="1194">
        <v>225664000</v>
      </c>
      <c r="H1538" s="1237">
        <v>372490000</v>
      </c>
      <c r="I1538" s="1237">
        <v>186610000</v>
      </c>
      <c r="J1538" s="1237">
        <v>257645000</v>
      </c>
      <c r="K1538" s="1237">
        <v>285882000</v>
      </c>
      <c r="L1538" s="1238"/>
      <c r="M1538" s="1238"/>
      <c r="N1538" s="1238"/>
      <c r="O1538" s="1238"/>
      <c r="P1538" s="1238"/>
      <c r="Q1538" s="1238"/>
      <c r="R1538" s="1110"/>
    </row>
    <row r="1539" spans="1:18" s="1239" customFormat="1" ht="16.350000000000001" customHeight="1" outlineLevel="1">
      <c r="A1539" s="1225"/>
      <c r="B1539" s="1236"/>
      <c r="C1539" s="1194"/>
      <c r="D1539" s="1194"/>
      <c r="E1539" s="1194"/>
      <c r="F1539" s="1194"/>
      <c r="G1539" s="1194"/>
      <c r="H1539" s="1237"/>
      <c r="I1539" s="1237"/>
      <c r="J1539" s="1237"/>
      <c r="K1539" s="1237"/>
      <c r="L1539" s="1238"/>
      <c r="M1539" s="1238"/>
      <c r="N1539" s="1238"/>
      <c r="O1539" s="1238"/>
      <c r="P1539" s="1238"/>
      <c r="Q1539" s="1238"/>
      <c r="R1539" s="1110"/>
    </row>
    <row r="1540" spans="1:18" s="1245" customFormat="1" ht="16.350000000000001" customHeight="1" outlineLevel="1">
      <c r="A1540" s="1225"/>
      <c r="B1540" s="1257" t="s">
        <v>276</v>
      </c>
      <c r="C1540" s="1194"/>
      <c r="D1540" s="1194">
        <v>8710355000</v>
      </c>
      <c r="E1540" s="1194">
        <v>7759273000</v>
      </c>
      <c r="F1540" s="1194">
        <v>4036113000</v>
      </c>
      <c r="G1540" s="1194">
        <f>SUM(G1541:G1547)</f>
        <v>3960295000</v>
      </c>
      <c r="H1540" s="1237">
        <f>SUM(H1541:H1547)</f>
        <v>2891490000</v>
      </c>
      <c r="I1540" s="1237">
        <f>I1541+I1543+I1542+I1547</f>
        <v>1904057000</v>
      </c>
      <c r="J1540" s="1237">
        <f>J1541+J1543+J1542+J1544+J1547</f>
        <v>1287186000</v>
      </c>
      <c r="K1540" s="1237">
        <f>K1541+K1543+K1542+K1544+K1545+K1547</f>
        <v>1416496000</v>
      </c>
      <c r="L1540" s="1244"/>
      <c r="M1540" s="1244"/>
      <c r="N1540" s="1244"/>
      <c r="O1540" s="1244"/>
      <c r="P1540" s="1244"/>
      <c r="Q1540" s="1244"/>
      <c r="R1540" s="1110"/>
    </row>
    <row r="1541" spans="1:18" s="1239" customFormat="1" ht="16.350000000000001" customHeight="1" outlineLevel="1">
      <c r="A1541" s="1225"/>
      <c r="B1541" s="1246" t="s">
        <v>1005</v>
      </c>
      <c r="C1541" s="1194"/>
      <c r="D1541" s="1194">
        <v>3702421000</v>
      </c>
      <c r="E1541" s="1194">
        <v>3586323000</v>
      </c>
      <c r="F1541" s="1194">
        <v>3008346000</v>
      </c>
      <c r="G1541" s="1194">
        <v>3030611000</v>
      </c>
      <c r="H1541" s="1237">
        <v>1772200000</v>
      </c>
      <c r="I1541" s="1237">
        <v>1166457000</v>
      </c>
      <c r="J1541" s="1237">
        <v>697287000</v>
      </c>
      <c r="K1541" s="1237">
        <v>658232000</v>
      </c>
      <c r="L1541" s="1238"/>
      <c r="M1541" s="1238"/>
      <c r="N1541" s="1238"/>
      <c r="O1541" s="1238"/>
      <c r="P1541" s="1238"/>
      <c r="Q1541" s="1238"/>
      <c r="R1541" s="1110"/>
    </row>
    <row r="1542" spans="1:18" s="1239" customFormat="1" ht="16.350000000000001" customHeight="1" outlineLevel="1">
      <c r="A1542" s="1225"/>
      <c r="B1542" s="1246" t="s">
        <v>91</v>
      </c>
      <c r="C1542" s="1194"/>
      <c r="D1542" s="1194">
        <v>1759906000</v>
      </c>
      <c r="E1542" s="1194">
        <v>1496535000</v>
      </c>
      <c r="F1542" s="1194">
        <v>520471000</v>
      </c>
      <c r="G1542" s="1194">
        <v>402176000</v>
      </c>
      <c r="H1542" s="1237">
        <v>272756000</v>
      </c>
      <c r="I1542" s="1237">
        <v>381433000</v>
      </c>
      <c r="J1542" s="1237">
        <v>232781000</v>
      </c>
      <c r="K1542" s="1237">
        <v>70976000</v>
      </c>
      <c r="L1542" s="1238"/>
      <c r="M1542" s="1238"/>
      <c r="N1542" s="1238"/>
      <c r="O1542" s="1238"/>
      <c r="P1542" s="1238"/>
      <c r="Q1542" s="1238"/>
      <c r="R1542" s="1110"/>
    </row>
    <row r="1543" spans="1:18" s="1239" customFormat="1" ht="16.350000000000001" customHeight="1" outlineLevel="1">
      <c r="A1543" s="1225"/>
      <c r="B1543" s="1246" t="s">
        <v>1006</v>
      </c>
      <c r="C1543" s="1194"/>
      <c r="D1543" s="1194">
        <v>2400370000</v>
      </c>
      <c r="E1543" s="1194">
        <v>2219566000</v>
      </c>
      <c r="F1543" s="1194">
        <v>374401000</v>
      </c>
      <c r="G1543" s="1194">
        <v>372462000</v>
      </c>
      <c r="H1543" s="1237">
        <v>376152000</v>
      </c>
      <c r="I1543" s="1237">
        <v>199458000</v>
      </c>
      <c r="J1543" s="1237">
        <v>182973000</v>
      </c>
      <c r="K1543" s="1237">
        <v>65878000</v>
      </c>
      <c r="L1543" s="1238"/>
      <c r="M1543" s="1238"/>
      <c r="N1543" s="1238"/>
      <c r="O1543" s="1238"/>
      <c r="P1543" s="1238"/>
      <c r="Q1543" s="1238"/>
      <c r="R1543" s="1110"/>
    </row>
    <row r="1544" spans="1:18" s="1239" customFormat="1" ht="16.350000000000001" customHeight="1" outlineLevel="1">
      <c r="A1544" s="1225"/>
      <c r="B1544" s="1246" t="s">
        <v>1007</v>
      </c>
      <c r="C1544" s="1194"/>
      <c r="D1544" s="1194">
        <v>0</v>
      </c>
      <c r="E1544" s="1194">
        <v>0</v>
      </c>
      <c r="F1544" s="1194">
        <v>0</v>
      </c>
      <c r="G1544" s="1194">
        <v>0</v>
      </c>
      <c r="H1544" s="1237">
        <v>0</v>
      </c>
      <c r="I1544" s="1237">
        <v>0</v>
      </c>
      <c r="J1544" s="1237">
        <v>100105000</v>
      </c>
      <c r="K1544" s="1237">
        <v>0</v>
      </c>
      <c r="L1544" s="1238"/>
      <c r="M1544" s="1238"/>
      <c r="N1544" s="1238"/>
      <c r="O1544" s="1238"/>
      <c r="P1544" s="1238"/>
      <c r="Q1544" s="1238"/>
      <c r="R1544" s="1110"/>
    </row>
    <row r="1545" spans="1:18" s="1239" customFormat="1" ht="16.350000000000001" customHeight="1" outlineLevel="1">
      <c r="A1545" s="1225"/>
      <c r="B1545" s="1246" t="s">
        <v>1008</v>
      </c>
      <c r="C1545" s="1194"/>
      <c r="D1545" s="1194">
        <v>0</v>
      </c>
      <c r="E1545" s="1194">
        <v>0</v>
      </c>
      <c r="F1545" s="1194">
        <v>0</v>
      </c>
      <c r="G1545" s="1194">
        <v>0</v>
      </c>
      <c r="H1545" s="1237">
        <v>0</v>
      </c>
      <c r="I1545" s="1237">
        <v>0</v>
      </c>
      <c r="J1545" s="1237">
        <v>0</v>
      </c>
      <c r="K1545" s="1237">
        <v>477706000</v>
      </c>
      <c r="L1545" s="1238"/>
      <c r="M1545" s="1238"/>
      <c r="N1545" s="1238"/>
      <c r="O1545" s="1238"/>
      <c r="P1545" s="1238"/>
      <c r="Q1545" s="1238"/>
      <c r="R1545" s="1110"/>
    </row>
    <row r="1546" spans="1:18" s="1239" customFormat="1" ht="16.350000000000001" customHeight="1" outlineLevel="1">
      <c r="A1546" s="1225"/>
      <c r="B1546" s="1246" t="s">
        <v>919</v>
      </c>
      <c r="C1546" s="1194"/>
      <c r="D1546" s="1194">
        <v>85404000</v>
      </c>
      <c r="E1546" s="1194">
        <v>102882000</v>
      </c>
      <c r="F1546" s="1194"/>
      <c r="G1546" s="1194"/>
      <c r="H1546" s="1237"/>
      <c r="I1546" s="1237"/>
      <c r="J1546" s="1237"/>
      <c r="K1546" s="1237"/>
      <c r="L1546" s="1238"/>
      <c r="M1546" s="1238"/>
      <c r="N1546" s="1238"/>
      <c r="O1546" s="1238"/>
      <c r="P1546" s="1238"/>
      <c r="Q1546" s="1238"/>
      <c r="R1546" s="1110"/>
    </row>
    <row r="1547" spans="1:18" s="1239" customFormat="1" ht="16.350000000000001" customHeight="1" outlineLevel="1">
      <c r="A1547" s="1225"/>
      <c r="B1547" s="1246" t="s">
        <v>36</v>
      </c>
      <c r="C1547" s="1194"/>
      <c r="D1547" s="1194">
        <v>762254000</v>
      </c>
      <c r="E1547" s="1194">
        <v>353967000</v>
      </c>
      <c r="F1547" s="1194">
        <v>132895000</v>
      </c>
      <c r="G1547" s="1194">
        <v>155046000</v>
      </c>
      <c r="H1547" s="1237">
        <v>470382000</v>
      </c>
      <c r="I1547" s="1237">
        <v>156709000</v>
      </c>
      <c r="J1547" s="1237">
        <v>74040000</v>
      </c>
      <c r="K1547" s="1237">
        <v>143704000</v>
      </c>
      <c r="L1547" s="1238"/>
      <c r="M1547" s="1238"/>
      <c r="N1547" s="1238"/>
      <c r="O1547" s="1238"/>
      <c r="P1547" s="1238"/>
      <c r="Q1547" s="1238"/>
      <c r="R1547" s="1110"/>
    </row>
    <row r="1548" spans="1:18" s="1239" customFormat="1" ht="16.350000000000001" customHeight="1" outlineLevel="1">
      <c r="A1548" s="1225"/>
      <c r="B1548" s="1246"/>
      <c r="C1548" s="1194"/>
      <c r="D1548" s="1194"/>
      <c r="E1548" s="1194"/>
      <c r="F1548" s="1194"/>
      <c r="G1548" s="1194"/>
      <c r="H1548" s="1237"/>
      <c r="I1548" s="1237"/>
      <c r="J1548" s="1237"/>
      <c r="K1548" s="1237"/>
      <c r="L1548" s="1238"/>
      <c r="M1548" s="1238"/>
      <c r="N1548" s="1238"/>
      <c r="O1548" s="1238"/>
      <c r="P1548" s="1238"/>
      <c r="Q1548" s="1238"/>
      <c r="R1548" s="1110"/>
    </row>
    <row r="1549" spans="1:18" s="1239" customFormat="1" ht="16.350000000000001" customHeight="1" outlineLevel="1">
      <c r="A1549" s="1225"/>
      <c r="B1549" s="1236" t="s">
        <v>1009</v>
      </c>
      <c r="C1549" s="1194"/>
      <c r="D1549" s="1194">
        <v>-1415310000</v>
      </c>
      <c r="E1549" s="1194">
        <v>133680000</v>
      </c>
      <c r="F1549" s="1194">
        <v>1139024000</v>
      </c>
      <c r="G1549" s="1194">
        <v>-2633016000</v>
      </c>
      <c r="H1549" s="1237">
        <v>-2814182000</v>
      </c>
      <c r="I1549" s="1237">
        <v>-351033000</v>
      </c>
      <c r="J1549" s="1237">
        <v>116162000</v>
      </c>
      <c r="K1549" s="1237">
        <v>39178000</v>
      </c>
      <c r="L1549" s="1238"/>
      <c r="M1549" s="1238"/>
      <c r="N1549" s="1238"/>
      <c r="O1549" s="1238"/>
      <c r="P1549" s="1238"/>
      <c r="Q1549" s="1238"/>
      <c r="R1549" s="1110"/>
    </row>
    <row r="1550" spans="1:18" s="266" customFormat="1" ht="16.350000000000001" customHeight="1" outlineLevel="1">
      <c r="A1550" s="1225"/>
      <c r="B1550" s="1177" t="s">
        <v>1010</v>
      </c>
      <c r="C1550" s="1218"/>
      <c r="D1550" s="1218">
        <f>D1529+D1536+D1538+D1540+D1549</f>
        <v>-2538449000</v>
      </c>
      <c r="E1550" s="1218">
        <f>E1529+E1536+E1538+E1540+E1549</f>
        <v>-5480703000</v>
      </c>
      <c r="F1550" s="1218">
        <f t="shared" ref="F1550:K1550" si="180">F1529+F1536+F1538+F1540+F1549</f>
        <v>-8901178000</v>
      </c>
      <c r="G1550" s="1218">
        <f t="shared" si="180"/>
        <v>-11176527000</v>
      </c>
      <c r="H1550" s="1180">
        <f t="shared" si="180"/>
        <v>-6774748000</v>
      </c>
      <c r="I1550" s="1180">
        <f t="shared" si="180"/>
        <v>-3604070000</v>
      </c>
      <c r="J1550" s="1180">
        <f t="shared" si="180"/>
        <v>-2691978000</v>
      </c>
      <c r="K1550" s="1180">
        <f t="shared" si="180"/>
        <v>-1867488000</v>
      </c>
      <c r="L1550" s="1180"/>
      <c r="M1550" s="1180"/>
      <c r="N1550" s="1180"/>
      <c r="O1550" s="1180"/>
      <c r="P1550" s="1180"/>
      <c r="Q1550" s="1180"/>
      <c r="R1550" s="1110"/>
    </row>
    <row r="1551" spans="1:18" s="266" customFormat="1" ht="16.350000000000001" customHeight="1" outlineLevel="1">
      <c r="A1551" s="1225"/>
      <c r="B1551" s="1177" t="s">
        <v>1011</v>
      </c>
      <c r="C1551" s="1218"/>
      <c r="D1551" s="1218">
        <v>43071995000</v>
      </c>
      <c r="E1551" s="1218">
        <v>45423770000</v>
      </c>
      <c r="F1551" s="1218">
        <v>68779962000</v>
      </c>
      <c r="G1551" s="1218">
        <f>G1522+G1550</f>
        <v>71195915000</v>
      </c>
      <c r="H1551" s="1180">
        <f>H1522+H1550</f>
        <v>62026534000</v>
      </c>
      <c r="I1551" s="1180">
        <f>I1522+I1550</f>
        <v>45754047000</v>
      </c>
      <c r="J1551" s="1180">
        <f>J1522+J1550</f>
        <v>32313110000</v>
      </c>
      <c r="K1551" s="1180">
        <f>K1522+K1550</f>
        <v>16490312000</v>
      </c>
      <c r="L1551" s="1180"/>
      <c r="M1551" s="1180"/>
      <c r="N1551" s="1180"/>
      <c r="O1551" s="1180"/>
      <c r="P1551" s="1180"/>
      <c r="Q1551" s="1180"/>
      <c r="R1551" s="1110"/>
    </row>
    <row r="1552" spans="1:18" s="1261" customFormat="1" ht="16.350000000000001" customHeight="1" outlineLevel="1">
      <c r="A1552" s="1225"/>
      <c r="B1552" s="1258"/>
      <c r="C1552" s="1194"/>
      <c r="D1552" s="1194"/>
      <c r="E1552" s="1194"/>
      <c r="F1552" s="1194"/>
      <c r="G1552" s="1194"/>
      <c r="H1552" s="1237"/>
      <c r="I1552" s="1237"/>
      <c r="J1552" s="1237"/>
      <c r="K1552" s="1237"/>
      <c r="L1552" s="1259"/>
      <c r="M1552" s="1259"/>
      <c r="N1552" s="1259"/>
      <c r="O1552" s="1259"/>
      <c r="P1552" s="1260"/>
      <c r="Q1552" s="1260"/>
      <c r="R1552" s="1110"/>
    </row>
    <row r="1553" spans="1:18" s="1262" customFormat="1" ht="16.350000000000001" customHeight="1" outlineLevel="1" collapsed="1">
      <c r="A1553" s="1225"/>
      <c r="B1553" s="1236" t="s">
        <v>1012</v>
      </c>
      <c r="C1553" s="1194"/>
      <c r="D1553" s="1194">
        <v>-5216406000</v>
      </c>
      <c r="E1553" s="1194">
        <v>-3962310000</v>
      </c>
      <c r="F1553" s="1194">
        <v>-11656019000</v>
      </c>
      <c r="G1553" s="1194">
        <v>-9666175000</v>
      </c>
      <c r="H1553" s="1237">
        <v>-12097649000</v>
      </c>
      <c r="I1553" s="1237">
        <v>-8224798000</v>
      </c>
      <c r="J1553" s="1237">
        <v>-5191681000</v>
      </c>
      <c r="K1553" s="1194">
        <v>-2055196000</v>
      </c>
      <c r="L1553" s="1202"/>
      <c r="M1553" s="1202"/>
      <c r="N1553" s="1202"/>
      <c r="O1553" s="1202"/>
      <c r="P1553" s="1202"/>
      <c r="Q1553" s="1202"/>
      <c r="R1553" s="1110"/>
    </row>
    <row r="1554" spans="1:18" s="1245" customFormat="1" ht="16.350000000000001" customHeight="1" outlineLevel="1">
      <c r="A1554" s="1225"/>
      <c r="B1554" s="1254" t="s">
        <v>1013</v>
      </c>
      <c r="C1554" s="1194"/>
      <c r="D1554" s="1194">
        <v>-3991065000</v>
      </c>
      <c r="E1554" s="1194">
        <v>-5922488000</v>
      </c>
      <c r="F1554" s="1194">
        <v>-2717949000</v>
      </c>
      <c r="G1554" s="1194">
        <v>-2468540000</v>
      </c>
      <c r="H1554" s="1237">
        <f>H1555+H1560</f>
        <v>-2243041000</v>
      </c>
      <c r="I1554" s="1237">
        <f>I1555+I1560</f>
        <v>-1908874000</v>
      </c>
      <c r="J1554" s="1237">
        <f>J1555+J1560</f>
        <v>-2004147000</v>
      </c>
      <c r="K1554" s="1237">
        <f>K1555+K1560</f>
        <v>-2131281000</v>
      </c>
      <c r="L1554" s="1244"/>
      <c r="M1554" s="1244"/>
      <c r="N1554" s="1244"/>
      <c r="O1554" s="1244"/>
      <c r="P1554" s="1244"/>
      <c r="Q1554" s="1244"/>
      <c r="R1554" s="1110"/>
    </row>
    <row r="1555" spans="1:18" s="1245" customFormat="1" ht="16.350000000000001" customHeight="1" outlineLevel="1">
      <c r="A1555" s="1225"/>
      <c r="B1555" s="1263" t="s">
        <v>1014</v>
      </c>
      <c r="C1555" s="1194"/>
      <c r="D1555" s="1194">
        <f>SUM(D1556:D1559)</f>
        <v>-2023815000</v>
      </c>
      <c r="E1555" s="1194">
        <f>E1556+E1557+E1558</f>
        <v>-984018000</v>
      </c>
      <c r="F1555" s="1194">
        <f t="shared" ref="F1555:K1555" si="181">F1556+F1557+F1558</f>
        <v>-2553451000</v>
      </c>
      <c r="G1555" s="1194">
        <f t="shared" si="181"/>
        <v>-2387663000</v>
      </c>
      <c r="H1555" s="1237">
        <f>H1556+H1557+H1558</f>
        <v>477741000</v>
      </c>
      <c r="I1555" s="1237">
        <f t="shared" si="181"/>
        <v>695609000</v>
      </c>
      <c r="J1555" s="1237">
        <f t="shared" si="181"/>
        <v>-141123000</v>
      </c>
      <c r="K1555" s="1237">
        <f t="shared" si="181"/>
        <v>203000000</v>
      </c>
      <c r="L1555" s="1244"/>
      <c r="M1555" s="1244"/>
      <c r="N1555" s="1244"/>
      <c r="O1555" s="1244"/>
      <c r="P1555" s="1244"/>
      <c r="Q1555" s="1244"/>
      <c r="R1555" s="1110"/>
    </row>
    <row r="1556" spans="1:18" s="1239" customFormat="1" ht="16.350000000000001" customHeight="1" outlineLevel="1">
      <c r="A1556" s="1225"/>
      <c r="B1556" s="1264" t="s">
        <v>926</v>
      </c>
      <c r="C1556" s="1194"/>
      <c r="D1556" s="1194">
        <v>-501508000</v>
      </c>
      <c r="E1556" s="1194">
        <v>-149449000</v>
      </c>
      <c r="F1556" s="1194">
        <v>-87604000</v>
      </c>
      <c r="G1556" s="1194">
        <v>-68533000</v>
      </c>
      <c r="H1556" s="1237">
        <v>-2494000</v>
      </c>
      <c r="I1556" s="1237">
        <v>34696000</v>
      </c>
      <c r="J1556" s="1237">
        <v>-289471000</v>
      </c>
      <c r="K1556" s="1237">
        <v>132022000</v>
      </c>
      <c r="L1556" s="1238"/>
      <c r="M1556" s="1238"/>
      <c r="N1556" s="1238"/>
      <c r="O1556" s="1238"/>
      <c r="P1556" s="1238"/>
      <c r="Q1556" s="1238"/>
      <c r="R1556" s="1110"/>
    </row>
    <row r="1557" spans="1:18" s="1239" customFormat="1" ht="16.350000000000001" customHeight="1" outlineLevel="1">
      <c r="A1557" s="1225"/>
      <c r="B1557" s="1264" t="s">
        <v>3</v>
      </c>
      <c r="C1557" s="1194"/>
      <c r="D1557" s="1194">
        <v>-580256000</v>
      </c>
      <c r="E1557" s="1194">
        <v>-217675000</v>
      </c>
      <c r="F1557" s="1194">
        <v>-1952013000</v>
      </c>
      <c r="G1557" s="1194">
        <v>-1723807000</v>
      </c>
      <c r="H1557" s="1237">
        <v>439322000</v>
      </c>
      <c r="I1557" s="1237">
        <v>338806000</v>
      </c>
      <c r="J1557" s="1237">
        <v>100474000</v>
      </c>
      <c r="K1557" s="1237">
        <v>68755000</v>
      </c>
      <c r="L1557" s="1238"/>
      <c r="M1557" s="1238"/>
      <c r="N1557" s="1238"/>
      <c r="O1557" s="1238"/>
      <c r="P1557" s="1238"/>
      <c r="Q1557" s="1238"/>
      <c r="R1557" s="1110"/>
    </row>
    <row r="1558" spans="1:18" s="1239" customFormat="1" ht="16.350000000000001" customHeight="1" outlineLevel="1">
      <c r="A1558" s="1225"/>
      <c r="B1558" s="1264" t="s">
        <v>859</v>
      </c>
      <c r="C1558" s="1194"/>
      <c r="D1558" s="1194">
        <f>-1393022000-254167000-163988000-597764000-1220511000</f>
        <v>-3629452000</v>
      </c>
      <c r="E1558" s="1194">
        <v>-616894000</v>
      </c>
      <c r="F1558" s="1194">
        <v>-513834000</v>
      </c>
      <c r="G1558" s="1194">
        <v>-595323000</v>
      </c>
      <c r="H1558" s="1237">
        <v>40913000</v>
      </c>
      <c r="I1558" s="1237">
        <v>322107000</v>
      </c>
      <c r="J1558" s="1237">
        <v>47874000</v>
      </c>
      <c r="K1558" s="1237">
        <v>2223000</v>
      </c>
      <c r="L1558" s="1238"/>
      <c r="M1558" s="1238"/>
      <c r="N1558" s="1238"/>
      <c r="O1558" s="1238"/>
      <c r="P1558" s="1238"/>
      <c r="Q1558" s="1238"/>
      <c r="R1558" s="1110"/>
    </row>
    <row r="1559" spans="1:18" s="1239" customFormat="1" ht="16.350000000000001" customHeight="1" outlineLevel="1">
      <c r="A1559" s="1225"/>
      <c r="B1559" s="1264" t="s">
        <v>1015</v>
      </c>
      <c r="C1559" s="1194"/>
      <c r="D1559" s="1194">
        <v>2687401000</v>
      </c>
      <c r="E1559" s="1194"/>
      <c r="F1559" s="1194"/>
      <c r="G1559" s="1194"/>
      <c r="H1559" s="1237"/>
      <c r="I1559" s="1237"/>
      <c r="J1559" s="1237"/>
      <c r="K1559" s="1237"/>
      <c r="L1559" s="1238"/>
      <c r="M1559" s="1238"/>
      <c r="N1559" s="1238"/>
      <c r="O1559" s="1238"/>
      <c r="P1559" s="1238"/>
      <c r="Q1559" s="1238"/>
      <c r="R1559" s="1110"/>
    </row>
    <row r="1560" spans="1:18" s="1245" customFormat="1" ht="16.350000000000001" customHeight="1" outlineLevel="1">
      <c r="A1560" s="1225"/>
      <c r="B1560" s="1263" t="s">
        <v>1016</v>
      </c>
      <c r="C1560" s="1194"/>
      <c r="D1560" s="1194">
        <v>27574365000</v>
      </c>
      <c r="E1560" s="1194">
        <f>E1561+E1562+E1563</f>
        <v>22505738000</v>
      </c>
      <c r="F1560" s="1194">
        <f t="shared" ref="F1560:K1560" si="182">F1561+F1563</f>
        <v>18152683000</v>
      </c>
      <c r="G1560" s="1194">
        <f t="shared" si="182"/>
        <v>15271946000</v>
      </c>
      <c r="H1560" s="1237">
        <f t="shared" si="182"/>
        <v>-2720782000</v>
      </c>
      <c r="I1560" s="1237">
        <f t="shared" si="182"/>
        <v>-2604483000</v>
      </c>
      <c r="J1560" s="1237">
        <f t="shared" si="182"/>
        <v>-1863024000</v>
      </c>
      <c r="K1560" s="1237">
        <f t="shared" si="182"/>
        <v>-2334281000</v>
      </c>
      <c r="L1560" s="1244"/>
      <c r="M1560" s="1244"/>
      <c r="N1560" s="1244"/>
      <c r="O1560" s="1244"/>
      <c r="P1560" s="1244"/>
      <c r="Q1560" s="1244"/>
      <c r="R1560" s="1110"/>
    </row>
    <row r="1561" spans="1:18" s="1239" customFormat="1" ht="16.350000000000001" customHeight="1" outlineLevel="1">
      <c r="A1561" s="1225"/>
      <c r="B1561" s="1264" t="s">
        <v>928</v>
      </c>
      <c r="C1561" s="1194"/>
      <c r="D1561" s="1194">
        <v>25701441000</v>
      </c>
      <c r="E1561" s="1194">
        <v>21427892000</v>
      </c>
      <c r="F1561" s="1194">
        <v>17292548000</v>
      </c>
      <c r="G1561" s="1194">
        <v>14598371000</v>
      </c>
      <c r="H1561" s="1237">
        <v>-2457109000</v>
      </c>
      <c r="I1561" s="1237">
        <v>-2348232000</v>
      </c>
      <c r="J1561" s="1237">
        <v>-1743024000</v>
      </c>
      <c r="K1561" s="1237">
        <v>-2310100000</v>
      </c>
      <c r="L1561" s="1238"/>
      <c r="M1561" s="1238"/>
      <c r="N1561" s="1238"/>
      <c r="O1561" s="1238"/>
      <c r="P1561" s="1238"/>
      <c r="Q1561" s="1238"/>
      <c r="R1561" s="1110"/>
    </row>
    <row r="1562" spans="1:18" s="1239" customFormat="1" ht="16.350000000000001" customHeight="1" outlineLevel="1">
      <c r="A1562" s="1225"/>
      <c r="B1562" s="1264" t="s">
        <v>3</v>
      </c>
      <c r="C1562" s="1194"/>
      <c r="D1562" s="1194">
        <v>886489000</v>
      </c>
      <c r="E1562" s="1194">
        <v>262983000</v>
      </c>
      <c r="F1562" s="1194"/>
      <c r="G1562" s="1194"/>
      <c r="H1562" s="1237"/>
      <c r="I1562" s="1237"/>
      <c r="J1562" s="1237"/>
      <c r="K1562" s="1237"/>
      <c r="L1562" s="1238"/>
      <c r="M1562" s="1238"/>
      <c r="N1562" s="1238"/>
      <c r="O1562" s="1238"/>
      <c r="P1562" s="1238"/>
      <c r="Q1562" s="1238"/>
      <c r="R1562" s="1110"/>
    </row>
    <row r="1563" spans="1:18" s="1239" customFormat="1" ht="16.350000000000001" customHeight="1" outlineLevel="1">
      <c r="A1563" s="1225"/>
      <c r="B1563" s="1264" t="s">
        <v>36</v>
      </c>
      <c r="C1563" s="1194"/>
      <c r="D1563" s="1194">
        <v>986435000</v>
      </c>
      <c r="E1563" s="1194">
        <v>814863000</v>
      </c>
      <c r="F1563" s="1194">
        <v>860135000</v>
      </c>
      <c r="G1563" s="1194">
        <v>673575000</v>
      </c>
      <c r="H1563" s="1237">
        <v>-263673000</v>
      </c>
      <c r="I1563" s="1237">
        <v>-256251000</v>
      </c>
      <c r="J1563" s="1237">
        <v>-120000000</v>
      </c>
      <c r="K1563" s="1237">
        <v>-24181000</v>
      </c>
      <c r="L1563" s="1238"/>
      <c r="M1563" s="1238"/>
      <c r="N1563" s="1238"/>
      <c r="O1563" s="1238"/>
      <c r="P1563" s="1238"/>
      <c r="Q1563" s="1238"/>
      <c r="R1563" s="1110"/>
    </row>
    <row r="1564" spans="1:18" s="1242" customFormat="1" ht="16.350000000000001" customHeight="1" outlineLevel="1">
      <c r="A1564" s="1225"/>
      <c r="B1564" s="1177" t="s">
        <v>1017</v>
      </c>
      <c r="C1564" s="1265"/>
      <c r="D1564" s="1265">
        <v>-9207471000</v>
      </c>
      <c r="E1564" s="1265">
        <v>-9884798000</v>
      </c>
      <c r="F1564" s="1265">
        <v>-14370968000</v>
      </c>
      <c r="G1564" s="1265">
        <f>G1553+G1554</f>
        <v>-12134715000</v>
      </c>
      <c r="H1564" s="1265">
        <f>H1553+H1554</f>
        <v>-14340690000</v>
      </c>
      <c r="I1564" s="1265">
        <f>I1553+I1554</f>
        <v>-10133672000</v>
      </c>
      <c r="J1564" s="1265">
        <f>J1553+J1554</f>
        <v>-7195828000</v>
      </c>
      <c r="K1564" s="1265">
        <f>K1553+K1554</f>
        <v>-4186477000</v>
      </c>
      <c r="L1564" s="1266"/>
      <c r="M1564" s="1266"/>
      <c r="N1564" s="1266"/>
      <c r="O1564" s="1266"/>
      <c r="P1564" s="1266"/>
      <c r="Q1564" s="1266"/>
      <c r="R1564" s="1110"/>
    </row>
    <row r="1565" spans="1:18" s="1242" customFormat="1" ht="16.350000000000001" customHeight="1" outlineLevel="1">
      <c r="A1565" s="1225"/>
      <c r="B1565" s="1177"/>
      <c r="C1565" s="1265"/>
      <c r="D1565" s="1265"/>
      <c r="E1565" s="1265"/>
      <c r="F1565" s="1265"/>
      <c r="G1565" s="1265"/>
      <c r="H1565" s="1265"/>
      <c r="I1565" s="1265"/>
      <c r="J1565" s="1265"/>
      <c r="K1565" s="1265"/>
      <c r="L1565" s="1266"/>
      <c r="M1565" s="1266"/>
      <c r="N1565" s="1266"/>
      <c r="O1565" s="1266"/>
      <c r="P1565" s="1266"/>
      <c r="Q1565" s="1266"/>
      <c r="R1565" s="1110"/>
    </row>
    <row r="1566" spans="1:18" s="1269" customFormat="1" ht="16.350000000000001" customHeight="1" outlineLevel="1">
      <c r="A1566" s="1225"/>
      <c r="B1566" s="1267" t="s">
        <v>1018</v>
      </c>
      <c r="C1566" s="1201"/>
      <c r="D1566" s="1201">
        <f>D1551*-0.2</f>
        <v>-8614399000</v>
      </c>
      <c r="E1566" s="1201">
        <f>E1551*-0.2</f>
        <v>-9084754000</v>
      </c>
      <c r="F1566" s="1201">
        <f t="shared" ref="F1566:K1566" si="183">F1551*-0.2</f>
        <v>-13755992400</v>
      </c>
      <c r="G1566" s="1201">
        <f t="shared" si="183"/>
        <v>-14239183000</v>
      </c>
      <c r="H1566" s="1268">
        <f t="shared" si="183"/>
        <v>-12405306800</v>
      </c>
      <c r="I1566" s="1268">
        <f t="shared" si="183"/>
        <v>-9150809400</v>
      </c>
      <c r="J1566" s="1268">
        <f t="shared" si="183"/>
        <v>-6462622000</v>
      </c>
      <c r="K1566" s="1268">
        <f t="shared" si="183"/>
        <v>-3298062400</v>
      </c>
      <c r="L1566" s="1268"/>
      <c r="M1566" s="1268"/>
      <c r="N1566" s="1268"/>
      <c r="O1566" s="1268"/>
      <c r="P1566" s="1268"/>
      <c r="Q1566" s="1268"/>
      <c r="R1566" s="1110"/>
    </row>
    <row r="1567" spans="1:18" s="1272" customFormat="1" ht="16.350000000000001" customHeight="1" outlineLevel="1">
      <c r="A1567" s="1225"/>
      <c r="B1567" s="1270" t="s">
        <v>1019</v>
      </c>
      <c r="C1567" s="1201"/>
      <c r="D1567" s="1201"/>
      <c r="E1567" s="1201"/>
      <c r="F1567" s="1201"/>
      <c r="G1567" s="1201"/>
      <c r="H1567" s="1268"/>
      <c r="I1567" s="1268"/>
      <c r="J1567" s="1268"/>
      <c r="K1567" s="1268"/>
      <c r="L1567" s="1271"/>
      <c r="M1567" s="1271"/>
      <c r="N1567" s="1271"/>
      <c r="O1567" s="1271"/>
      <c r="P1567" s="1271"/>
      <c r="Q1567" s="1271"/>
      <c r="R1567" s="1110"/>
    </row>
    <row r="1568" spans="1:18" s="1272" customFormat="1" ht="16.350000000000001" customHeight="1" outlineLevel="1">
      <c r="A1568" s="1225"/>
      <c r="B1568" s="1273" t="s">
        <v>1020</v>
      </c>
      <c r="C1568" s="1201"/>
      <c r="D1568" s="1201">
        <v>-355035000</v>
      </c>
      <c r="E1568" s="1201">
        <v>-335920000</v>
      </c>
      <c r="F1568" s="1201">
        <v>-294225000</v>
      </c>
      <c r="G1568" s="1201">
        <v>-253777000</v>
      </c>
      <c r="H1568" s="1268">
        <v>-1363492000</v>
      </c>
      <c r="I1568" s="1268">
        <v>-861813000</v>
      </c>
      <c r="J1568" s="1268">
        <v>-692511000</v>
      </c>
      <c r="K1568" s="1268">
        <v>-761326000</v>
      </c>
      <c r="L1568" s="1271"/>
      <c r="M1568" s="1271"/>
      <c r="N1568" s="1271"/>
      <c r="O1568" s="1271"/>
      <c r="P1568" s="1271"/>
      <c r="Q1568" s="1271"/>
      <c r="R1568" s="1110"/>
    </row>
    <row r="1569" spans="1:18" s="1272" customFormat="1" ht="16.350000000000001" customHeight="1" outlineLevel="1">
      <c r="A1569" s="1225"/>
      <c r="B1569" s="1273" t="s">
        <v>1021</v>
      </c>
      <c r="C1569" s="1201"/>
      <c r="D1569" s="1201">
        <v>-317434000</v>
      </c>
      <c r="E1569" s="1201">
        <v>-464170000</v>
      </c>
      <c r="F1569" s="1201">
        <v>-592672000</v>
      </c>
      <c r="G1569" s="1201">
        <v>-404188000</v>
      </c>
      <c r="H1569" s="1268">
        <v>-571891000</v>
      </c>
      <c r="I1569" s="1268">
        <v>-121050000</v>
      </c>
      <c r="J1569" s="1268">
        <v>-40695000</v>
      </c>
      <c r="K1569" s="1268">
        <v>-127089000</v>
      </c>
      <c r="L1569" s="1271"/>
      <c r="M1569" s="1271"/>
      <c r="N1569" s="1271"/>
      <c r="O1569" s="1271"/>
      <c r="P1569" s="1271"/>
      <c r="Q1569" s="1271"/>
      <c r="R1569" s="1110"/>
    </row>
    <row r="1570" spans="1:18" s="1272" customFormat="1" ht="16.350000000000001" customHeight="1" outlineLevel="1">
      <c r="A1570" s="1225"/>
      <c r="B1570" s="1273" t="s">
        <v>1022</v>
      </c>
      <c r="C1570" s="1201"/>
      <c r="D1570" s="1201">
        <v>79397000</v>
      </c>
      <c r="E1570" s="1201">
        <v>46000</v>
      </c>
      <c r="F1570" s="1201">
        <v>271921000</v>
      </c>
      <c r="G1570" s="1201">
        <v>2762433000</v>
      </c>
      <c r="H1570" s="1268">
        <v>0</v>
      </c>
      <c r="I1570" s="1268">
        <v>0</v>
      </c>
      <c r="J1570" s="1268">
        <v>0</v>
      </c>
      <c r="K1570" s="1268">
        <v>0</v>
      </c>
      <c r="L1570" s="1271"/>
      <c r="M1570" s="1271"/>
      <c r="N1570" s="1271"/>
      <c r="O1570" s="1271"/>
      <c r="P1570" s="1271"/>
      <c r="Q1570" s="1271"/>
      <c r="R1570" s="1110"/>
    </row>
    <row r="1571" spans="1:18" s="1269" customFormat="1" ht="16.350000000000001" customHeight="1" outlineLevel="1">
      <c r="A1571" s="1225"/>
      <c r="B1571" s="1274" t="s">
        <v>1023</v>
      </c>
      <c r="C1571" s="1201"/>
      <c r="D1571" s="1201">
        <f t="shared" ref="D1571:K1571" si="184">D1566+D1568+D1569+D1570</f>
        <v>-9207471000</v>
      </c>
      <c r="E1571" s="1201">
        <f t="shared" si="184"/>
        <v>-9884798000</v>
      </c>
      <c r="F1571" s="1201">
        <f t="shared" si="184"/>
        <v>-14370968400</v>
      </c>
      <c r="G1571" s="1201">
        <f t="shared" si="184"/>
        <v>-12134715000</v>
      </c>
      <c r="H1571" s="1268">
        <f t="shared" si="184"/>
        <v>-14340689800</v>
      </c>
      <c r="I1571" s="1268">
        <f t="shared" si="184"/>
        <v>-10133672400</v>
      </c>
      <c r="J1571" s="1268">
        <f t="shared" si="184"/>
        <v>-7195828000</v>
      </c>
      <c r="K1571" s="1268">
        <f t="shared" si="184"/>
        <v>-4186477400</v>
      </c>
      <c r="L1571" s="1268"/>
      <c r="M1571" s="1268"/>
      <c r="N1571" s="1268"/>
      <c r="O1571" s="1268"/>
      <c r="P1571" s="1268"/>
      <c r="Q1571" s="1268"/>
      <c r="R1571" s="1110"/>
    </row>
    <row r="1572" spans="1:18" s="1269" customFormat="1" ht="16.350000000000001" customHeight="1" outlineLevel="1">
      <c r="A1572" s="1225"/>
      <c r="B1572" s="1274"/>
      <c r="C1572" s="1201"/>
      <c r="D1572" s="1201"/>
      <c r="E1572" s="1201"/>
      <c r="F1572" s="1201"/>
      <c r="G1572" s="1201"/>
      <c r="H1572" s="1268"/>
      <c r="I1572" s="1268"/>
      <c r="J1572" s="1268"/>
      <c r="K1572" s="1268"/>
      <c r="L1572" s="1268"/>
      <c r="M1572" s="1268"/>
      <c r="N1572" s="1268"/>
      <c r="O1572" s="1268"/>
      <c r="P1572" s="1268"/>
      <c r="Q1572" s="1268"/>
      <c r="R1572" s="1110"/>
    </row>
    <row r="1573" spans="1:18" s="266" customFormat="1" ht="16.350000000000001" customHeight="1" outlineLevel="1">
      <c r="A1573" s="1225"/>
      <c r="B1573" s="1177" t="s">
        <v>1024</v>
      </c>
      <c r="C1573" s="1218"/>
      <c r="D1573" s="1218">
        <v>33864524000</v>
      </c>
      <c r="E1573" s="1218">
        <v>35538972000</v>
      </c>
      <c r="F1573" s="1218">
        <f t="shared" ref="F1573:K1573" si="185">F1551+F1564</f>
        <v>54408994000</v>
      </c>
      <c r="G1573" s="1218">
        <f t="shared" si="185"/>
        <v>59061200000</v>
      </c>
      <c r="H1573" s="1180">
        <f t="shared" si="185"/>
        <v>47685844000</v>
      </c>
      <c r="I1573" s="1180">
        <f t="shared" si="185"/>
        <v>35620375000</v>
      </c>
      <c r="J1573" s="1180">
        <f t="shared" si="185"/>
        <v>25117282000</v>
      </c>
      <c r="K1573" s="1180">
        <f t="shared" si="185"/>
        <v>12303835000</v>
      </c>
      <c r="L1573" s="1180">
        <v>10134106000</v>
      </c>
      <c r="M1573" s="1180">
        <v>8728765000</v>
      </c>
      <c r="N1573" s="1180">
        <v>4670679900</v>
      </c>
      <c r="O1573" s="1180"/>
      <c r="P1573" s="1180"/>
      <c r="Q1573" s="1180"/>
      <c r="R1573" s="1110"/>
    </row>
    <row r="1574" spans="1:18" s="266" customFormat="1" ht="16.350000000000001" customHeight="1" outlineLevel="1">
      <c r="A1574" s="1225"/>
      <c r="B1574" s="1275"/>
      <c r="C1574" s="1276"/>
      <c r="D1574" s="1276"/>
      <c r="E1574" s="1276"/>
      <c r="F1574" s="1276"/>
      <c r="G1574" s="1276"/>
      <c r="H1574" s="1229"/>
      <c r="I1574" s="1229"/>
      <c r="J1574" s="1229"/>
      <c r="K1574" s="1229"/>
      <c r="L1574" s="1229"/>
      <c r="M1574" s="1229"/>
      <c r="N1574" s="1229"/>
      <c r="O1574" s="1229"/>
      <c r="P1574" s="1229"/>
      <c r="Q1574" s="1229"/>
      <c r="R1574" s="1110"/>
    </row>
    <row r="1575" spans="1:18" s="1104" customFormat="1" ht="21" customHeight="1" thickBot="1">
      <c r="A1575" s="1554" t="s">
        <v>1025</v>
      </c>
      <c r="B1575" s="1555"/>
      <c r="C1575" s="1277"/>
      <c r="D1575" s="1278"/>
      <c r="E1575" s="1278"/>
      <c r="F1575" s="1278"/>
      <c r="G1575" s="1278"/>
      <c r="H1575" s="1278"/>
      <c r="I1575" s="1279"/>
      <c r="J1575" s="1279"/>
      <c r="K1575" s="1279"/>
      <c r="L1575" s="1279"/>
      <c r="M1575" s="1279"/>
      <c r="N1575" s="1279"/>
      <c r="O1575" s="1279"/>
      <c r="P1575" s="1279"/>
      <c r="Q1575" s="1279"/>
      <c r="R1575" s="1280"/>
    </row>
    <row r="1576" spans="1:18" s="1288" customFormat="1" ht="16.350000000000001" customHeight="1" outlineLevel="1">
      <c r="A1576" s="1281"/>
      <c r="B1576" s="1282"/>
      <c r="C1576" s="1283"/>
      <c r="D1576" s="1283"/>
      <c r="E1576" s="1283"/>
      <c r="F1576" s="1283"/>
      <c r="G1576" s="1283"/>
      <c r="H1576" s="1284"/>
      <c r="I1576" s="1284"/>
      <c r="J1576" s="1284"/>
      <c r="K1576" s="1284"/>
      <c r="L1576" s="1285"/>
      <c r="M1576" s="1285"/>
      <c r="N1576" s="1285"/>
      <c r="O1576" s="1285"/>
      <c r="P1576" s="1286"/>
      <c r="Q1576" s="1286"/>
      <c r="R1576" s="1287"/>
    </row>
    <row r="1577" spans="1:18" s="1288" customFormat="1" ht="16.350000000000001" customHeight="1" outlineLevel="1">
      <c r="A1577" s="1281"/>
      <c r="B1577" s="1289" t="s">
        <v>1026</v>
      </c>
      <c r="C1577" s="1214"/>
      <c r="D1577" s="1214"/>
      <c r="E1577" s="1214"/>
      <c r="F1577" s="1214"/>
      <c r="G1577" s="1214"/>
      <c r="H1577" s="1290"/>
      <c r="I1577" s="1290"/>
      <c r="J1577" s="1290"/>
      <c r="K1577" s="1290"/>
      <c r="L1577" s="1285"/>
      <c r="M1577" s="1285"/>
      <c r="N1577" s="1285"/>
      <c r="O1577" s="1285"/>
      <c r="P1577" s="1286"/>
      <c r="Q1577" s="1286"/>
      <c r="R1577" s="1287"/>
    </row>
    <row r="1578" spans="1:18" s="266" customFormat="1" ht="16.350000000000001" customHeight="1" outlineLevel="1">
      <c r="A1578" s="1281"/>
      <c r="B1578" s="1291" t="s">
        <v>1027</v>
      </c>
      <c r="C1578" s="1218"/>
      <c r="D1578" s="1218">
        <v>43071995000</v>
      </c>
      <c r="E1578" s="1218">
        <v>45423770000</v>
      </c>
      <c r="F1578" s="1218">
        <v>68779962000</v>
      </c>
      <c r="G1578" s="1218">
        <f>G1551</f>
        <v>71195915000</v>
      </c>
      <c r="H1578" s="1180">
        <f>H1551</f>
        <v>62026534000</v>
      </c>
      <c r="I1578" s="1180">
        <f>I1551</f>
        <v>45754047000</v>
      </c>
      <c r="J1578" s="1180">
        <f>J1551</f>
        <v>32313110000</v>
      </c>
      <c r="K1578" s="1180">
        <f>K1551</f>
        <v>16490312000</v>
      </c>
      <c r="L1578" s="1229"/>
      <c r="M1578" s="1229"/>
      <c r="N1578" s="1229"/>
      <c r="O1578" s="1229"/>
      <c r="P1578" s="1229"/>
      <c r="Q1578" s="1229"/>
      <c r="R1578" s="1287"/>
    </row>
    <row r="1579" spans="1:18" s="266" customFormat="1" ht="16.350000000000001" customHeight="1" outlineLevel="1">
      <c r="A1579" s="1281"/>
      <c r="B1579" s="1291"/>
      <c r="C1579" s="1218"/>
      <c r="D1579" s="1218"/>
      <c r="E1579" s="1218"/>
      <c r="F1579" s="1218"/>
      <c r="G1579" s="1218"/>
      <c r="H1579" s="1180"/>
      <c r="I1579" s="1180"/>
      <c r="J1579" s="1180"/>
      <c r="K1579" s="1180"/>
      <c r="L1579" s="1229"/>
      <c r="M1579" s="1229"/>
      <c r="N1579" s="1229"/>
      <c r="O1579" s="1229"/>
      <c r="P1579" s="1229"/>
      <c r="Q1579" s="1229"/>
      <c r="R1579" s="1287"/>
    </row>
    <row r="1580" spans="1:18" s="1294" customFormat="1" ht="16.350000000000001" customHeight="1" outlineLevel="1" collapsed="1">
      <c r="A1580" s="1281"/>
      <c r="B1580" s="1292" t="s">
        <v>24</v>
      </c>
      <c r="C1580" s="1214"/>
      <c r="D1580" s="1214"/>
      <c r="E1580" s="1214"/>
      <c r="F1580" s="1214"/>
      <c r="G1580" s="1214"/>
      <c r="H1580" s="1214"/>
      <c r="I1580" s="1214"/>
      <c r="J1580" s="1214"/>
      <c r="K1580" s="1214"/>
      <c r="L1580" s="1293"/>
      <c r="M1580" s="1293"/>
      <c r="N1580" s="1293"/>
      <c r="O1580" s="1293"/>
      <c r="P1580" s="1293"/>
      <c r="Q1580" s="1293"/>
      <c r="R1580" s="1287"/>
    </row>
    <row r="1581" spans="1:18" s="1288" customFormat="1" ht="16.350000000000001" customHeight="1" outlineLevel="1" collapsed="1">
      <c r="A1581" s="1281"/>
      <c r="B1581" s="1295" t="s">
        <v>45</v>
      </c>
      <c r="C1581" s="1214"/>
      <c r="D1581" s="1214">
        <v>35521322000</v>
      </c>
      <c r="E1581" s="1214">
        <v>32947360000</v>
      </c>
      <c r="F1581" s="1214">
        <v>25219767000</v>
      </c>
      <c r="G1581" s="1214">
        <v>20605896000</v>
      </c>
      <c r="H1581" s="1214">
        <v>17264213000</v>
      </c>
      <c r="I1581" s="1214">
        <v>13890473000</v>
      </c>
      <c r="J1581" s="1214">
        <v>11025488000</v>
      </c>
      <c r="K1581" s="1214">
        <v>7822242000</v>
      </c>
      <c r="L1581" s="1296"/>
      <c r="M1581" s="1296"/>
      <c r="N1581" s="1296"/>
      <c r="O1581" s="1296"/>
      <c r="P1581" s="1296"/>
      <c r="Q1581" s="1296"/>
      <c r="R1581" s="1287"/>
    </row>
    <row r="1582" spans="1:18" s="1288" customFormat="1" ht="16.350000000000001" customHeight="1" outlineLevel="1" collapsed="1">
      <c r="A1582" s="1281"/>
      <c r="B1582" s="1295" t="s">
        <v>67</v>
      </c>
      <c r="C1582" s="1214"/>
      <c r="D1582" s="1214">
        <v>996116000</v>
      </c>
      <c r="E1582" s="1214">
        <v>768342000</v>
      </c>
      <c r="F1582" s="1214">
        <v>605866000</v>
      </c>
      <c r="G1582" s="1214">
        <v>510829000</v>
      </c>
      <c r="H1582" s="1214">
        <v>345452000</v>
      </c>
      <c r="I1582" s="1214">
        <v>293881000</v>
      </c>
      <c r="J1582" s="1214">
        <v>244177000</v>
      </c>
      <c r="K1582" s="1214">
        <v>157688000</v>
      </c>
      <c r="L1582" s="1296"/>
      <c r="M1582" s="1296"/>
      <c r="N1582" s="1296"/>
      <c r="O1582" s="1296"/>
      <c r="P1582" s="1296"/>
      <c r="Q1582" s="1296"/>
      <c r="R1582" s="1287"/>
    </row>
    <row r="1583" spans="1:18" s="1288" customFormat="1" ht="16.350000000000001" customHeight="1" outlineLevel="1" collapsed="1">
      <c r="A1583" s="1281"/>
      <c r="B1583" s="1295" t="s">
        <v>1028</v>
      </c>
      <c r="C1583" s="1214"/>
      <c r="D1583" s="1214">
        <v>549026000</v>
      </c>
      <c r="E1583" s="1214">
        <v>464016000</v>
      </c>
      <c r="F1583" s="1214">
        <v>663260000</v>
      </c>
      <c r="G1583" s="1214">
        <v>523312000</v>
      </c>
      <c r="H1583" s="1214">
        <v>436137000</v>
      </c>
      <c r="I1583" s="1214">
        <v>211273000</v>
      </c>
      <c r="J1583" s="1214">
        <v>21451000</v>
      </c>
      <c r="K1583" s="1214">
        <v>199113000</v>
      </c>
      <c r="L1583" s="1296"/>
      <c r="M1583" s="1296"/>
      <c r="N1583" s="1296"/>
      <c r="O1583" s="1296"/>
      <c r="P1583" s="1296"/>
      <c r="Q1583" s="1296"/>
      <c r="R1583" s="1287"/>
    </row>
    <row r="1584" spans="1:18" s="1288" customFormat="1" ht="16.350000000000001" customHeight="1" outlineLevel="1" collapsed="1">
      <c r="A1584" s="1281"/>
      <c r="B1584" s="1295" t="s">
        <v>1029</v>
      </c>
      <c r="C1584" s="1214"/>
      <c r="D1584" s="1214">
        <v>27278000</v>
      </c>
      <c r="E1584" s="1214">
        <v>0</v>
      </c>
      <c r="F1584" s="1214">
        <v>0</v>
      </c>
      <c r="G1584" s="1214">
        <v>0</v>
      </c>
      <c r="H1584" s="1214">
        <v>0</v>
      </c>
      <c r="I1584" s="1214">
        <v>3317000</v>
      </c>
      <c r="J1584" s="1214">
        <v>-100105000</v>
      </c>
      <c r="K1584" s="1214">
        <v>0</v>
      </c>
      <c r="L1584" s="1296"/>
      <c r="M1584" s="1296"/>
      <c r="N1584" s="1296"/>
      <c r="O1584" s="1296"/>
      <c r="P1584" s="1296"/>
      <c r="Q1584" s="1296"/>
      <c r="R1584" s="1287"/>
    </row>
    <row r="1585" spans="1:18" s="1288" customFormat="1" ht="16.350000000000001" customHeight="1" outlineLevel="1">
      <c r="A1585" s="1281"/>
      <c r="B1585" s="1295" t="s">
        <v>1030</v>
      </c>
      <c r="C1585" s="1214"/>
      <c r="D1585" s="1214">
        <v>25789000</v>
      </c>
      <c r="E1585" s="1214">
        <v>24697000</v>
      </c>
      <c r="F1585" s="1214">
        <v>20261000</v>
      </c>
      <c r="G1585" s="1214">
        <v>0</v>
      </c>
      <c r="H1585" s="1214"/>
      <c r="I1585" s="1214"/>
      <c r="J1585" s="1214"/>
      <c r="K1585" s="1214"/>
      <c r="L1585" s="1296"/>
      <c r="M1585" s="1296"/>
      <c r="N1585" s="1296"/>
      <c r="O1585" s="1296"/>
      <c r="P1585" s="1296"/>
      <c r="Q1585" s="1296"/>
      <c r="R1585" s="1287"/>
    </row>
    <row r="1586" spans="1:18" s="1288" customFormat="1" ht="16.350000000000001" customHeight="1" outlineLevel="1" collapsed="1">
      <c r="A1586" s="1281"/>
      <c r="B1586" s="1295" t="s">
        <v>1031</v>
      </c>
      <c r="C1586" s="1214"/>
      <c r="D1586" s="1214">
        <v>-1180000</v>
      </c>
      <c r="E1586" s="1214">
        <v>0</v>
      </c>
      <c r="F1586" s="1214">
        <v>0</v>
      </c>
      <c r="G1586" s="1214">
        <v>0</v>
      </c>
      <c r="H1586" s="1214">
        <v>-274646000</v>
      </c>
      <c r="I1586" s="1214">
        <v>0</v>
      </c>
      <c r="J1586" s="1214">
        <v>0</v>
      </c>
      <c r="K1586" s="1214">
        <v>0</v>
      </c>
      <c r="L1586" s="1296"/>
      <c r="M1586" s="1296"/>
      <c r="N1586" s="1296"/>
      <c r="O1586" s="1296"/>
      <c r="P1586" s="1296"/>
      <c r="Q1586" s="1296"/>
      <c r="R1586" s="1287"/>
    </row>
    <row r="1587" spans="1:18" s="1294" customFormat="1" ht="16.350000000000001" customHeight="1" outlineLevel="1" collapsed="1">
      <c r="A1587" s="1281"/>
      <c r="B1587" s="1297" t="s">
        <v>1032</v>
      </c>
      <c r="C1587" s="1214"/>
      <c r="D1587" s="1214">
        <v>-97118000</v>
      </c>
      <c r="E1587" s="1214">
        <v>129225000</v>
      </c>
      <c r="F1587" s="1214">
        <v>-9548000</v>
      </c>
      <c r="G1587" s="1214">
        <f>G1518*-1</f>
        <v>107300000</v>
      </c>
      <c r="H1587" s="1214">
        <f>H1518*-1</f>
        <v>113217000</v>
      </c>
      <c r="I1587" s="1214">
        <f>I1518*-1</f>
        <v>71030000</v>
      </c>
      <c r="J1587" s="1214">
        <v>123013000</v>
      </c>
      <c r="K1587" s="1214">
        <f>K1518*-1</f>
        <v>-18866000</v>
      </c>
      <c r="L1587" s="1293"/>
      <c r="M1587" s="1293"/>
      <c r="N1587" s="1293"/>
      <c r="O1587" s="1293"/>
      <c r="P1587" s="1293"/>
      <c r="Q1587" s="1293"/>
      <c r="R1587" s="1287"/>
    </row>
    <row r="1588" spans="1:18" s="1294" customFormat="1" ht="16.350000000000001" customHeight="1" outlineLevel="1" collapsed="1">
      <c r="A1588" s="1281"/>
      <c r="B1588" s="1297" t="s">
        <v>1033</v>
      </c>
      <c r="C1588" s="1214"/>
      <c r="D1588" s="1214">
        <v>1415310000</v>
      </c>
      <c r="E1588" s="1214">
        <v>-133680000</v>
      </c>
      <c r="F1588" s="1214">
        <v>-1139024000</v>
      </c>
      <c r="G1588" s="1214">
        <f>G1549*-1</f>
        <v>2633016000</v>
      </c>
      <c r="H1588" s="1214">
        <f>H1549*-1</f>
        <v>2814182000</v>
      </c>
      <c r="I1588" s="1214">
        <f>I1549*-1</f>
        <v>351033000</v>
      </c>
      <c r="J1588" s="1214">
        <f>J1549*-1</f>
        <v>-116162000</v>
      </c>
      <c r="K1588" s="1214">
        <f>K1549*-1</f>
        <v>-39178000</v>
      </c>
      <c r="L1588" s="1293"/>
      <c r="M1588" s="1293"/>
      <c r="N1588" s="1293"/>
      <c r="O1588" s="1293"/>
      <c r="P1588" s="1293"/>
      <c r="Q1588" s="1293"/>
      <c r="R1588" s="1287"/>
    </row>
    <row r="1589" spans="1:18" s="1294" customFormat="1" ht="16.350000000000001" customHeight="1" outlineLevel="1" collapsed="1">
      <c r="A1589" s="1281"/>
      <c r="B1589" s="1297" t="s">
        <v>1034</v>
      </c>
      <c r="C1589" s="1214"/>
      <c r="D1589" s="1214">
        <v>9136262000</v>
      </c>
      <c r="E1589" s="1214">
        <v>12978882000</v>
      </c>
      <c r="F1589" s="1214">
        <v>13293675000</v>
      </c>
      <c r="G1589" s="1214">
        <f>G1529*-1</f>
        <v>11885958000</v>
      </c>
      <c r="H1589" s="1214">
        <f>H1529*-1</f>
        <v>6645959000</v>
      </c>
      <c r="I1589" s="1214">
        <f>I1529*-1</f>
        <v>4969440000</v>
      </c>
      <c r="J1589" s="1214">
        <f>J1529*-1</f>
        <v>4055418000</v>
      </c>
      <c r="K1589" s="1214">
        <f>K1529*-1</f>
        <v>3419781000</v>
      </c>
      <c r="L1589" s="1293"/>
      <c r="M1589" s="1293"/>
      <c r="N1589" s="1293"/>
      <c r="O1589" s="1293"/>
      <c r="P1589" s="1293"/>
      <c r="Q1589" s="1293"/>
      <c r="R1589" s="1287"/>
    </row>
    <row r="1590" spans="1:18" s="1294" customFormat="1" ht="16.350000000000001" customHeight="1" outlineLevel="1" collapsed="1">
      <c r="A1590" s="1281"/>
      <c r="B1590" s="1297" t="s">
        <v>1035</v>
      </c>
      <c r="C1590" s="1214"/>
      <c r="D1590" s="1214"/>
      <c r="E1590" s="1214">
        <v>0</v>
      </c>
      <c r="F1590" s="1214">
        <v>0</v>
      </c>
      <c r="G1590" s="1214">
        <f>G1545*-1</f>
        <v>0</v>
      </c>
      <c r="H1590" s="1214">
        <f>H1545*-1</f>
        <v>0</v>
      </c>
      <c r="I1590" s="1214">
        <f>I1545*-1</f>
        <v>0</v>
      </c>
      <c r="J1590" s="1214">
        <f>J1545*-1</f>
        <v>0</v>
      </c>
      <c r="K1590" s="1214">
        <f>K1545*-1</f>
        <v>-477706000</v>
      </c>
      <c r="L1590" s="1293"/>
      <c r="M1590" s="1293"/>
      <c r="N1590" s="1293"/>
      <c r="O1590" s="1293"/>
      <c r="P1590" s="1293"/>
      <c r="Q1590" s="1293"/>
      <c r="R1590" s="1287"/>
    </row>
    <row r="1591" spans="1:18" s="1294" customFormat="1" ht="16.350000000000001" customHeight="1" outlineLevel="1" collapsed="1">
      <c r="A1591" s="1281"/>
      <c r="B1591" s="1297" t="s">
        <v>275</v>
      </c>
      <c r="C1591" s="1298"/>
      <c r="D1591" s="1298">
        <v>-210316000</v>
      </c>
      <c r="E1591" s="1298">
        <v>-340714000</v>
      </c>
      <c r="F1591" s="1298">
        <v>-106254000</v>
      </c>
      <c r="G1591" s="1298">
        <f>G1538*-1</f>
        <v>-225664000</v>
      </c>
      <c r="H1591" s="1298">
        <f>H1538*-1</f>
        <v>-372490000</v>
      </c>
      <c r="I1591" s="1298">
        <f>I1538*-1</f>
        <v>-186610000</v>
      </c>
      <c r="J1591" s="1298">
        <f>J1538*-1</f>
        <v>-257645000</v>
      </c>
      <c r="K1591" s="1298">
        <f>K1538*-1</f>
        <v>-285882000</v>
      </c>
      <c r="L1591" s="1293"/>
      <c r="M1591" s="1293"/>
      <c r="N1591" s="1293"/>
      <c r="O1591" s="1293"/>
      <c r="P1591" s="1293"/>
      <c r="Q1591" s="1293"/>
      <c r="R1591" s="1287"/>
    </row>
    <row r="1592" spans="1:18" s="266" customFormat="1" ht="16.350000000000001" customHeight="1" outlineLevel="1">
      <c r="A1592" s="1281"/>
      <c r="B1592" s="1299" t="s">
        <v>1036</v>
      </c>
      <c r="C1592" s="1178"/>
      <c r="D1592" s="1178">
        <f>D1578+SUM(D1581:D1591)</f>
        <v>90434484000</v>
      </c>
      <c r="E1592" s="1178">
        <v>92261898000</v>
      </c>
      <c r="F1592" s="1178">
        <v>107327965000</v>
      </c>
      <c r="G1592" s="1178">
        <f>G1578+(SUM(G1581:G1591))</f>
        <v>107236562000</v>
      </c>
      <c r="H1592" s="1179">
        <f>H1578+(SUM(H1581:H1591))</f>
        <v>88998558000</v>
      </c>
      <c r="I1592" s="1179">
        <f>I1578+(SUM(I1581:I1591))</f>
        <v>65357884000</v>
      </c>
      <c r="J1592" s="1179">
        <f>J1578+(SUM(J1581:J1591))</f>
        <v>47308745000</v>
      </c>
      <c r="K1592" s="1179">
        <f>K1578+(SUM(K1581:K1591))</f>
        <v>27267504000</v>
      </c>
      <c r="L1592" s="1229"/>
      <c r="M1592" s="1229"/>
      <c r="N1592" s="1229"/>
      <c r="O1592" s="1229"/>
      <c r="P1592" s="1229"/>
      <c r="Q1592" s="1229"/>
      <c r="R1592" s="1287"/>
    </row>
    <row r="1593" spans="1:18" s="1294" customFormat="1" ht="16.350000000000001" customHeight="1" outlineLevel="1">
      <c r="A1593" s="1281"/>
      <c r="B1593" s="1300"/>
      <c r="C1593" s="1214"/>
      <c r="D1593" s="1214"/>
      <c r="E1593" s="1214"/>
      <c r="F1593" s="1214"/>
      <c r="G1593" s="1214"/>
      <c r="H1593" s="1214"/>
      <c r="I1593" s="1214"/>
      <c r="J1593" s="1214"/>
      <c r="K1593" s="1214"/>
      <c r="L1593" s="1293"/>
      <c r="M1593" s="1293"/>
      <c r="N1593" s="1293"/>
      <c r="O1593" s="1293"/>
      <c r="P1593" s="1293"/>
      <c r="Q1593" s="1293"/>
      <c r="R1593" s="1287"/>
    </row>
    <row r="1594" spans="1:18" s="1288" customFormat="1" ht="16.350000000000001" customHeight="1" outlineLevel="1" collapsed="1">
      <c r="A1594" s="1281"/>
      <c r="B1594" s="1301" t="s">
        <v>1037</v>
      </c>
      <c r="C1594" s="1214"/>
      <c r="D1594" s="1214">
        <v>-1213236000</v>
      </c>
      <c r="E1594" s="1214">
        <v>-684289000</v>
      </c>
      <c r="F1594" s="1214">
        <v>159094000</v>
      </c>
      <c r="G1594" s="1214">
        <v>-287711000</v>
      </c>
      <c r="H1594" s="1214">
        <v>-294947000</v>
      </c>
      <c r="I1594" s="1214">
        <v>51577000</v>
      </c>
      <c r="J1594" s="1214">
        <v>-144870000</v>
      </c>
      <c r="K1594" s="1214">
        <v>488583000</v>
      </c>
      <c r="L1594" s="1296"/>
      <c r="M1594" s="1296"/>
      <c r="N1594" s="1296"/>
      <c r="O1594" s="1296"/>
      <c r="P1594" s="1296"/>
      <c r="Q1594" s="1296"/>
      <c r="R1594" s="1287"/>
    </row>
    <row r="1595" spans="1:18" s="1288" customFormat="1" ht="16.350000000000001" customHeight="1" outlineLevel="1" collapsed="1">
      <c r="A1595" s="1281"/>
      <c r="B1595" s="1300" t="s">
        <v>1038</v>
      </c>
      <c r="C1595" s="1214"/>
      <c r="D1595" s="1214">
        <v>-663651000</v>
      </c>
      <c r="E1595" s="1214">
        <v>217829000</v>
      </c>
      <c r="F1595" s="1214">
        <v>87455000</v>
      </c>
      <c r="G1595" s="1214">
        <f>(G1342-H1342)*-1</f>
        <v>-446428000</v>
      </c>
      <c r="H1595" s="1214">
        <f>(H1342-I1342)*-1</f>
        <v>-1678249000</v>
      </c>
      <c r="I1595" s="1214">
        <f>(I1342-J1342)*-1</f>
        <v>-493848000</v>
      </c>
      <c r="J1595" s="1214">
        <f>(J1342-K1342)*-1</f>
        <v>-876717000</v>
      </c>
      <c r="K1595" s="1214">
        <v>309195000</v>
      </c>
      <c r="L1595" s="1296"/>
      <c r="M1595" s="1296"/>
      <c r="N1595" s="1296"/>
      <c r="O1595" s="1296"/>
      <c r="P1595" s="1296"/>
      <c r="Q1595" s="1296"/>
      <c r="R1595" s="1287"/>
    </row>
    <row r="1596" spans="1:18" s="1288" customFormat="1" ht="16.350000000000001" customHeight="1" outlineLevel="1" collapsed="1">
      <c r="A1596" s="1281"/>
      <c r="B1596" s="1301" t="s">
        <v>1039</v>
      </c>
      <c r="C1596" s="1214"/>
      <c r="D1596" s="1214">
        <v>511328000</v>
      </c>
      <c r="E1596" s="1214">
        <v>375292000</v>
      </c>
      <c r="F1596" s="1214">
        <v>12109000</v>
      </c>
      <c r="G1596" s="1214">
        <v>12346000</v>
      </c>
      <c r="H1596" s="1214">
        <v>-87657000</v>
      </c>
      <c r="I1596" s="1214">
        <v>377277000</v>
      </c>
      <c r="J1596" s="1214">
        <v>0</v>
      </c>
      <c r="K1596" s="1214">
        <v>0</v>
      </c>
      <c r="L1596" s="1296"/>
      <c r="M1596" s="1296"/>
      <c r="N1596" s="1296"/>
      <c r="O1596" s="1296"/>
      <c r="P1596" s="1296"/>
      <c r="Q1596" s="1296"/>
      <c r="R1596" s="1287"/>
    </row>
    <row r="1597" spans="1:18" s="1288" customFormat="1" ht="16.350000000000001" customHeight="1" outlineLevel="1" collapsed="1">
      <c r="A1597" s="1281"/>
      <c r="B1597" s="1301" t="s">
        <v>1040</v>
      </c>
      <c r="C1597" s="1214"/>
      <c r="D1597" s="1214">
        <v>1145281000</v>
      </c>
      <c r="E1597" s="1214">
        <v>-150461000</v>
      </c>
      <c r="F1597" s="1214">
        <v>-351136000</v>
      </c>
      <c r="G1597" s="1214">
        <v>-27288000</v>
      </c>
      <c r="H1597" s="1214">
        <v>-41399000</v>
      </c>
      <c r="I1597" s="1214">
        <v>82684000</v>
      </c>
      <c r="J1597" s="1214">
        <v>10328000</v>
      </c>
      <c r="K1597" s="1214">
        <v>1626523000</v>
      </c>
      <c r="L1597" s="1296"/>
      <c r="M1597" s="1296"/>
      <c r="N1597" s="1296"/>
      <c r="O1597" s="1296"/>
      <c r="P1597" s="1296"/>
      <c r="Q1597" s="1296"/>
      <c r="R1597" s="1287"/>
    </row>
    <row r="1598" spans="1:18" s="1288" customFormat="1" ht="16.350000000000001" customHeight="1" outlineLevel="1" collapsed="1">
      <c r="A1598" s="1281"/>
      <c r="B1598" s="1301" t="s">
        <v>1041</v>
      </c>
      <c r="C1598" s="1214"/>
      <c r="D1598" s="1214">
        <v>118695000</v>
      </c>
      <c r="E1598" s="1214">
        <v>-181674000</v>
      </c>
      <c r="F1598" s="1214">
        <v>-137856000</v>
      </c>
      <c r="G1598" s="1214">
        <v>-78381000</v>
      </c>
      <c r="H1598" s="1214">
        <v>9623000</v>
      </c>
      <c r="I1598" s="1214">
        <v>-70208000</v>
      </c>
      <c r="J1598" s="1214">
        <v>197567000</v>
      </c>
      <c r="K1598" s="1214">
        <v>-163397000</v>
      </c>
      <c r="L1598" s="1296"/>
      <c r="M1598" s="1296"/>
      <c r="N1598" s="1296"/>
      <c r="O1598" s="1296"/>
      <c r="P1598" s="1296"/>
      <c r="Q1598" s="1296"/>
      <c r="R1598" s="1287"/>
    </row>
    <row r="1599" spans="1:18" s="1288" customFormat="1" ht="16.350000000000001" customHeight="1" outlineLevel="1" collapsed="1">
      <c r="A1599" s="1281"/>
      <c r="B1599" s="1301" t="s">
        <v>1042</v>
      </c>
      <c r="C1599" s="1214"/>
      <c r="D1599" s="1214">
        <v>-23424016000</v>
      </c>
      <c r="E1599" s="1214">
        <v>-27260045000</v>
      </c>
      <c r="F1599" s="1214">
        <v>-18444120000</v>
      </c>
      <c r="G1599" s="1214">
        <v>-34995928000</v>
      </c>
      <c r="H1599" s="1214">
        <v>-25380251000</v>
      </c>
      <c r="I1599" s="1214">
        <v>-14867532000</v>
      </c>
      <c r="J1599" s="1214">
        <v>-11881239000</v>
      </c>
      <c r="K1599" s="1214">
        <v>-9036160000</v>
      </c>
      <c r="L1599" s="1296"/>
      <c r="M1599" s="1296"/>
      <c r="N1599" s="1296"/>
      <c r="O1599" s="1296"/>
      <c r="P1599" s="1296"/>
      <c r="Q1599" s="1296"/>
      <c r="R1599" s="1287"/>
    </row>
    <row r="1600" spans="1:18" s="1294" customFormat="1" ht="16.350000000000001" customHeight="1" outlineLevel="1" collapsed="1">
      <c r="A1600" s="1281"/>
      <c r="B1600" s="1300" t="s">
        <v>1043</v>
      </c>
      <c r="C1600" s="1214"/>
      <c r="D1600" s="1214">
        <v>10247625000</v>
      </c>
      <c r="E1600" s="1214">
        <v>15353763000</v>
      </c>
      <c r="F1600" s="1214">
        <v>-3309388000</v>
      </c>
      <c r="G1600" s="1214">
        <v>18945064000</v>
      </c>
      <c r="H1600" s="1214">
        <v>15813044000</v>
      </c>
      <c r="I1600" s="1214">
        <v>4284968000</v>
      </c>
      <c r="J1600" s="1214">
        <v>9460276000</v>
      </c>
      <c r="K1600" s="1214">
        <v>9711520000</v>
      </c>
      <c r="L1600" s="1293"/>
      <c r="M1600" s="1293"/>
      <c r="N1600" s="1293"/>
      <c r="O1600" s="1293"/>
      <c r="P1600" s="1293"/>
      <c r="Q1600" s="1293"/>
      <c r="R1600" s="1287"/>
    </row>
    <row r="1601" spans="1:18" s="1288" customFormat="1" ht="16.350000000000001" customHeight="1" outlineLevel="1" collapsed="1">
      <c r="A1601" s="1281"/>
      <c r="B1601" s="1301" t="s">
        <v>1044</v>
      </c>
      <c r="C1601" s="1214"/>
      <c r="D1601" s="1214">
        <v>511124000</v>
      </c>
      <c r="E1601" s="1214">
        <v>926667000</v>
      </c>
      <c r="F1601" s="1214">
        <v>973979000</v>
      </c>
      <c r="G1601" s="1214">
        <v>1489722000</v>
      </c>
      <c r="H1601" s="1214">
        <v>1572234000</v>
      </c>
      <c r="I1601" s="1214">
        <v>1576318000</v>
      </c>
      <c r="J1601" s="1214">
        <v>1075112000</v>
      </c>
      <c r="K1601" s="1214">
        <v>1609893000</v>
      </c>
      <c r="L1601" s="1296"/>
      <c r="M1601" s="1296"/>
      <c r="N1601" s="1296"/>
      <c r="O1601" s="1296"/>
      <c r="P1601" s="1296"/>
      <c r="Q1601" s="1296"/>
      <c r="R1601" s="1287"/>
    </row>
    <row r="1602" spans="1:18" s="1288" customFormat="1" ht="16.350000000000001" customHeight="1" outlineLevel="1" collapsed="1">
      <c r="A1602" s="1281"/>
      <c r="B1602" s="1301" t="s">
        <v>1045</v>
      </c>
      <c r="C1602" s="1214"/>
      <c r="D1602" s="1214">
        <v>-1827166000</v>
      </c>
      <c r="E1602" s="1214">
        <v>-2527243000</v>
      </c>
      <c r="F1602" s="1214">
        <v>2884291000</v>
      </c>
      <c r="G1602" s="1214">
        <v>540360000</v>
      </c>
      <c r="H1602" s="1214">
        <v>757564000</v>
      </c>
      <c r="I1602" s="1214">
        <v>895699000</v>
      </c>
      <c r="J1602" s="1214">
        <v>1263578000</v>
      </c>
      <c r="K1602" s="1214">
        <v>1438123000</v>
      </c>
      <c r="L1602" s="1296"/>
      <c r="M1602" s="1296"/>
      <c r="N1602" s="1296"/>
      <c r="O1602" s="1296"/>
      <c r="P1602" s="1296"/>
      <c r="Q1602" s="1296"/>
      <c r="R1602" s="1287"/>
    </row>
    <row r="1603" spans="1:18" s="1288" customFormat="1" ht="16.350000000000001" customHeight="1" outlineLevel="1">
      <c r="A1603" s="1281"/>
      <c r="B1603" s="1301" t="s">
        <v>1046</v>
      </c>
      <c r="C1603" s="1214"/>
      <c r="D1603" s="1214">
        <v>1131356000</v>
      </c>
      <c r="E1603" s="1214">
        <v>189020000</v>
      </c>
      <c r="F1603" s="1214"/>
      <c r="G1603" s="1214"/>
      <c r="H1603" s="1214"/>
      <c r="I1603" s="1214"/>
      <c r="J1603" s="1214"/>
      <c r="K1603" s="1214"/>
      <c r="L1603" s="1296"/>
      <c r="M1603" s="1296"/>
      <c r="N1603" s="1296"/>
      <c r="O1603" s="1296"/>
      <c r="P1603" s="1296"/>
      <c r="Q1603" s="1296"/>
      <c r="R1603" s="1287"/>
    </row>
    <row r="1604" spans="1:18" s="1288" customFormat="1" ht="16.350000000000001" customHeight="1" outlineLevel="1">
      <c r="A1604" s="1281"/>
      <c r="B1604" s="1301" t="s">
        <v>1047</v>
      </c>
      <c r="C1604" s="1214"/>
      <c r="D1604" s="1214">
        <v>1858968000</v>
      </c>
      <c r="E1604" s="1214">
        <v>355296000</v>
      </c>
      <c r="F1604" s="1214"/>
      <c r="G1604" s="1214"/>
      <c r="H1604" s="1214"/>
      <c r="I1604" s="1214"/>
      <c r="J1604" s="1214"/>
      <c r="K1604" s="1214"/>
      <c r="L1604" s="1296"/>
      <c r="M1604" s="1296"/>
      <c r="N1604" s="1296"/>
      <c r="O1604" s="1296"/>
      <c r="P1604" s="1296"/>
      <c r="Q1604" s="1296"/>
      <c r="R1604" s="1287"/>
    </row>
    <row r="1605" spans="1:18" s="1305" customFormat="1" ht="16.350000000000001" customHeight="1" outlineLevel="1">
      <c r="A1605" s="1281"/>
      <c r="B1605" s="1302" t="s">
        <v>1048</v>
      </c>
      <c r="C1605" s="1303"/>
      <c r="D1605" s="1303">
        <f>SUM(D1594:D1604)</f>
        <v>-11603692000</v>
      </c>
      <c r="E1605" s="1303">
        <f>SUM(E1594:E1604)</f>
        <v>-13385845000</v>
      </c>
      <c r="F1605" s="1303">
        <f t="shared" ref="F1605:K1605" si="186">SUM(F1594:F1602)</f>
        <v>-18125572000</v>
      </c>
      <c r="G1605" s="1303">
        <f t="shared" si="186"/>
        <v>-14848244000</v>
      </c>
      <c r="H1605" s="1303">
        <f t="shared" si="186"/>
        <v>-9330038000</v>
      </c>
      <c r="I1605" s="1303">
        <f t="shared" si="186"/>
        <v>-8163065000</v>
      </c>
      <c r="J1605" s="1303">
        <f t="shared" si="186"/>
        <v>-895965000</v>
      </c>
      <c r="K1605" s="1303">
        <f t="shared" si="186"/>
        <v>5984280000</v>
      </c>
      <c r="L1605" s="1304"/>
      <c r="M1605" s="1304"/>
      <c r="N1605" s="1304"/>
      <c r="O1605" s="1304"/>
      <c r="P1605" s="1304"/>
      <c r="Q1605" s="1304"/>
      <c r="R1605" s="1287"/>
    </row>
    <row r="1606" spans="1:18" s="266" customFormat="1" ht="16.350000000000001" customHeight="1" outlineLevel="1">
      <c r="A1606" s="1281"/>
      <c r="B1606" s="1299" t="s">
        <v>1049</v>
      </c>
      <c r="C1606" s="1178"/>
      <c r="D1606" s="1178">
        <f>D1592+D1605</f>
        <v>78830792000</v>
      </c>
      <c r="E1606" s="1178">
        <f>E1592+E1605</f>
        <v>78876053000</v>
      </c>
      <c r="F1606" s="1178">
        <f>F1592+F1605</f>
        <v>89202393000</v>
      </c>
      <c r="G1606" s="1178">
        <f>G1592+(SUM(G1594:G1602))</f>
        <v>92388318000</v>
      </c>
      <c r="H1606" s="1179">
        <f>H1592+(SUM(H1594:H1602))</f>
        <v>79668520000</v>
      </c>
      <c r="I1606" s="1179">
        <f>I1592+(SUM(I1594:I1602))</f>
        <v>57194819000</v>
      </c>
      <c r="J1606" s="1179">
        <f>J1592+(SUM(J1594:J1602))</f>
        <v>46412780000</v>
      </c>
      <c r="K1606" s="1179">
        <f>K1592+(SUM(K1594:K1602))</f>
        <v>33251784000</v>
      </c>
      <c r="L1606" s="1229"/>
      <c r="M1606" s="1229"/>
      <c r="N1606" s="1229"/>
      <c r="O1606" s="1229"/>
      <c r="P1606" s="1229"/>
      <c r="Q1606" s="1229"/>
      <c r="R1606" s="1287"/>
    </row>
    <row r="1607" spans="1:18" s="1294" customFormat="1" ht="16.350000000000001" customHeight="1" outlineLevel="1">
      <c r="A1607" s="1281"/>
      <c r="B1607" s="1301"/>
      <c r="C1607" s="1214"/>
      <c r="D1607" s="1214"/>
      <c r="E1607" s="1214"/>
      <c r="F1607" s="1214"/>
      <c r="G1607" s="1214"/>
      <c r="H1607" s="1214"/>
      <c r="I1607" s="1214"/>
      <c r="J1607" s="1214"/>
      <c r="K1607" s="1214"/>
      <c r="L1607" s="1306"/>
      <c r="M1607" s="1306"/>
      <c r="N1607" s="1306"/>
      <c r="O1607" s="1306"/>
      <c r="P1607" s="1306"/>
      <c r="Q1607" s="1306"/>
      <c r="R1607" s="1287"/>
    </row>
    <row r="1608" spans="1:18" s="1288" customFormat="1" ht="16.350000000000001" customHeight="1" outlineLevel="1" collapsed="1">
      <c r="A1608" s="1281"/>
      <c r="B1608" s="1301" t="s">
        <v>1050</v>
      </c>
      <c r="C1608" s="1214"/>
      <c r="D1608" s="1214">
        <v>-4433235000</v>
      </c>
      <c r="E1608" s="1214">
        <v>-4876235000</v>
      </c>
      <c r="F1608" s="1214">
        <v>-12566520000</v>
      </c>
      <c r="G1608" s="1214">
        <v>-8863546000</v>
      </c>
      <c r="H1608" s="1214">
        <v>-12524830000</v>
      </c>
      <c r="I1608" s="1214">
        <v>-8020879000</v>
      </c>
      <c r="J1608" s="1214">
        <v>-5600919000</v>
      </c>
      <c r="K1608" s="1214">
        <v>-1432898000</v>
      </c>
      <c r="L1608" s="1296"/>
      <c r="M1608" s="1296"/>
      <c r="N1608" s="1296"/>
      <c r="O1608" s="1296"/>
      <c r="P1608" s="1296"/>
      <c r="Q1608" s="1296"/>
      <c r="R1608" s="1287"/>
    </row>
    <row r="1609" spans="1:18" s="1288" customFormat="1" ht="16.350000000000001" customHeight="1" outlineLevel="1" collapsed="1">
      <c r="A1609" s="1281"/>
      <c r="B1609" s="1301" t="s">
        <v>1051</v>
      </c>
      <c r="C1609" s="1214"/>
      <c r="D1609" s="1214">
        <v>-9860959000</v>
      </c>
      <c r="E1609" s="1214">
        <v>-13334900000</v>
      </c>
      <c r="F1609" s="1214">
        <v>-13694427000</v>
      </c>
      <c r="G1609" s="1214">
        <v>-10971217000</v>
      </c>
      <c r="H1609" s="1214">
        <v>-6807453000</v>
      </c>
      <c r="I1609" s="1214">
        <v>-4758646000</v>
      </c>
      <c r="J1609" s="1214">
        <v>235995000</v>
      </c>
      <c r="K1609" s="1214">
        <v>231808000</v>
      </c>
      <c r="L1609" s="1296"/>
      <c r="M1609" s="1296"/>
      <c r="N1609" s="1296"/>
      <c r="O1609" s="1296"/>
      <c r="P1609" s="1296"/>
      <c r="Q1609" s="1296"/>
      <c r="R1609" s="1287"/>
    </row>
    <row r="1610" spans="1:18" s="1288" customFormat="1" ht="16.350000000000001" customHeight="1" outlineLevel="1">
      <c r="A1610" s="1281"/>
      <c r="B1610" s="1301" t="s">
        <v>1052</v>
      </c>
      <c r="C1610" s="1214"/>
      <c r="D1610" s="1214">
        <v>200720000</v>
      </c>
      <c r="E1610" s="1214">
        <v>343376000</v>
      </c>
      <c r="F1610" s="1214">
        <v>100531000</v>
      </c>
      <c r="G1610" s="1214">
        <v>227736000</v>
      </c>
      <c r="H1610" s="1214">
        <v>375253000</v>
      </c>
      <c r="I1610" s="1214">
        <v>209147000</v>
      </c>
      <c r="J1610" s="1214">
        <v>-4377554000</v>
      </c>
      <c r="K1610" s="1214">
        <v>-3474338000</v>
      </c>
      <c r="L1610" s="1296"/>
      <c r="M1610" s="1296"/>
      <c r="N1610" s="1296"/>
      <c r="O1610" s="1296"/>
      <c r="P1610" s="1296"/>
      <c r="Q1610" s="1296"/>
      <c r="R1610" s="1287"/>
    </row>
    <row r="1611" spans="1:18" s="266" customFormat="1" ht="16.350000000000001" customHeight="1" outlineLevel="1">
      <c r="A1611" s="1281"/>
      <c r="B1611" s="1299" t="s">
        <v>1053</v>
      </c>
      <c r="C1611" s="1178"/>
      <c r="D1611" s="1178">
        <f>SUM(D1606,D1608:D1610)</f>
        <v>64737318000</v>
      </c>
      <c r="E1611" s="1178">
        <v>61008294000</v>
      </c>
      <c r="F1611" s="1178">
        <v>63041977000</v>
      </c>
      <c r="G1611" s="1178">
        <f>G1606+(SUM(G1608:G1610))</f>
        <v>72781291000</v>
      </c>
      <c r="H1611" s="1179">
        <f>H1606+(SUM(H1608:H1610))</f>
        <v>60711490000</v>
      </c>
      <c r="I1611" s="1179">
        <f>I1606+(SUM(I1608:I1610))</f>
        <v>44624441000</v>
      </c>
      <c r="J1611" s="1179">
        <f>J1606+(SUM(J1608:J1610))</f>
        <v>36670302000</v>
      </c>
      <c r="K1611" s="1179">
        <f>K1606+(SUM(K1608:K1610))</f>
        <v>28576356000</v>
      </c>
      <c r="L1611" s="1229"/>
      <c r="M1611" s="1229"/>
      <c r="N1611" s="1229"/>
      <c r="O1611" s="1229"/>
      <c r="P1611" s="1229"/>
      <c r="Q1611" s="1229"/>
      <c r="R1611" s="1287"/>
    </row>
    <row r="1612" spans="1:18" s="1261" customFormat="1" ht="16.350000000000001" customHeight="1" outlineLevel="1">
      <c r="A1612" s="1281"/>
      <c r="B1612" s="1307"/>
      <c r="C1612" s="1194"/>
      <c r="D1612" s="1194"/>
      <c r="E1612" s="1194"/>
      <c r="F1612" s="1194"/>
      <c r="G1612" s="1194"/>
      <c r="H1612" s="1237"/>
      <c r="I1612" s="1237"/>
      <c r="J1612" s="1237"/>
      <c r="K1612" s="1237"/>
      <c r="L1612" s="1308"/>
      <c r="M1612" s="1308"/>
      <c r="N1612" s="1308"/>
      <c r="O1612" s="1308"/>
      <c r="P1612" s="1309"/>
      <c r="Q1612" s="1309"/>
      <c r="R1612" s="1287"/>
    </row>
    <row r="1613" spans="1:18" s="1288" customFormat="1" ht="16.350000000000001" customHeight="1" outlineLevel="1" collapsed="1">
      <c r="A1613" s="1281"/>
      <c r="B1613" s="1301" t="s">
        <v>1054</v>
      </c>
      <c r="C1613" s="1214"/>
      <c r="D1613" s="1214">
        <v>-51603538000</v>
      </c>
      <c r="E1613" s="1214">
        <v>-73528262000</v>
      </c>
      <c r="F1613" s="1214">
        <v>-49808433000</v>
      </c>
      <c r="G1613" s="1214">
        <v>-54000081000</v>
      </c>
      <c r="H1613" s="1214">
        <v>-55711779000</v>
      </c>
      <c r="I1613" s="1214">
        <v>-50051179000</v>
      </c>
      <c r="J1613" s="1214">
        <v>-47309795000</v>
      </c>
      <c r="K1613" s="1214">
        <v>-48691306000</v>
      </c>
      <c r="L1613" s="1296"/>
      <c r="M1613" s="1296"/>
      <c r="N1613" s="1296"/>
      <c r="O1613" s="1296"/>
      <c r="P1613" s="1296"/>
      <c r="Q1613" s="1296"/>
      <c r="R1613" s="1287"/>
    </row>
    <row r="1614" spans="1:18" s="1288" customFormat="1" ht="16.350000000000001" customHeight="1" outlineLevel="1" collapsed="1">
      <c r="A1614" s="1281"/>
      <c r="B1614" s="1301" t="s">
        <v>1055</v>
      </c>
      <c r="C1614" s="1214"/>
      <c r="D1614" s="1214"/>
      <c r="E1614" s="1214">
        <v>0</v>
      </c>
      <c r="F1614" s="1214">
        <v>0</v>
      </c>
      <c r="G1614" s="1214">
        <v>0</v>
      </c>
      <c r="H1614" s="1214">
        <v>0</v>
      </c>
      <c r="I1614" s="1214">
        <v>0</v>
      </c>
      <c r="J1614" s="1214">
        <v>0</v>
      </c>
      <c r="K1614" s="1214">
        <v>-940250000</v>
      </c>
      <c r="L1614" s="1296"/>
      <c r="M1614" s="1296"/>
      <c r="N1614" s="1296"/>
      <c r="O1614" s="1296"/>
      <c r="P1614" s="1296"/>
      <c r="Q1614" s="1296"/>
      <c r="R1614" s="1287"/>
    </row>
    <row r="1615" spans="1:18" s="1288" customFormat="1" ht="16.350000000000001" customHeight="1" outlineLevel="1" collapsed="1">
      <c r="A1615" s="1281"/>
      <c r="B1615" s="1301" t="s">
        <v>1056</v>
      </c>
      <c r="C1615" s="1214"/>
      <c r="D1615" s="1214"/>
      <c r="E1615" s="1214">
        <v>0</v>
      </c>
      <c r="F1615" s="1214">
        <v>0</v>
      </c>
      <c r="G1615" s="1214">
        <v>0</v>
      </c>
      <c r="H1615" s="1214">
        <v>0</v>
      </c>
      <c r="I1615" s="1214">
        <v>0</v>
      </c>
      <c r="J1615" s="1214">
        <v>-395460000</v>
      </c>
      <c r="K1615" s="1214">
        <v>0</v>
      </c>
      <c r="L1615" s="1296"/>
      <c r="M1615" s="1296"/>
      <c r="N1615" s="1296"/>
      <c r="O1615" s="1296"/>
      <c r="P1615" s="1296"/>
      <c r="Q1615" s="1296"/>
      <c r="R1615" s="1287"/>
    </row>
    <row r="1616" spans="1:18" s="1288" customFormat="1" ht="16.350000000000001" customHeight="1" outlineLevel="1" collapsed="1">
      <c r="A1616" s="1281"/>
      <c r="B1616" s="1301" t="s">
        <v>1057</v>
      </c>
      <c r="C1616" s="1214"/>
      <c r="D1616" s="1214">
        <v>-2154557000</v>
      </c>
      <c r="E1616" s="1214">
        <v>-1560744000</v>
      </c>
      <c r="F1616" s="1214">
        <v>-572167000</v>
      </c>
      <c r="G1616" s="1214">
        <v>-946772000</v>
      </c>
      <c r="H1616" s="1214">
        <v>-461106000</v>
      </c>
      <c r="I1616" s="1214">
        <v>-441812000</v>
      </c>
      <c r="J1616" s="1214">
        <v>-463091000</v>
      </c>
      <c r="K1616" s="1214">
        <v>-222094000</v>
      </c>
      <c r="L1616" s="1296"/>
      <c r="M1616" s="1296"/>
      <c r="N1616" s="1296"/>
      <c r="O1616" s="1296"/>
      <c r="P1616" s="1296"/>
      <c r="Q1616" s="1296"/>
      <c r="R1616" s="1287"/>
    </row>
    <row r="1617" spans="1:18" s="1288" customFormat="1" ht="16.350000000000001" customHeight="1" outlineLevel="1" collapsed="1">
      <c r="A1617" s="1281"/>
      <c r="B1617" s="1301" t="s">
        <v>1058</v>
      </c>
      <c r="C1617" s="1214"/>
      <c r="D1617" s="1214">
        <v>-847000</v>
      </c>
      <c r="E1617" s="1214">
        <v>-63023000</v>
      </c>
      <c r="F1617" s="1214">
        <v>-35817000</v>
      </c>
      <c r="G1617" s="1214">
        <v>-275565000</v>
      </c>
      <c r="H1617" s="1214">
        <v>-223829000</v>
      </c>
      <c r="I1617" s="1214">
        <v>-718926000</v>
      </c>
      <c r="J1617" s="1214">
        <v>-506289000</v>
      </c>
      <c r="K1617" s="1214">
        <v>-1286511000</v>
      </c>
      <c r="L1617" s="1296"/>
      <c r="M1617" s="1296"/>
      <c r="N1617" s="1296"/>
      <c r="O1617" s="1296"/>
      <c r="P1617" s="1296"/>
      <c r="Q1617" s="1296"/>
      <c r="R1617" s="1287"/>
    </row>
    <row r="1618" spans="1:18" s="1288" customFormat="1" ht="16.350000000000001" customHeight="1" outlineLevel="1" collapsed="1">
      <c r="A1618" s="1281"/>
      <c r="B1618" s="1301" t="s">
        <v>1059</v>
      </c>
      <c r="C1618" s="1214"/>
      <c r="D1618" s="1214"/>
      <c r="E1618" s="1214">
        <v>0</v>
      </c>
      <c r="F1618" s="1214">
        <v>0</v>
      </c>
      <c r="G1618" s="1214">
        <v>0</v>
      </c>
      <c r="H1618" s="1214">
        <v>0</v>
      </c>
      <c r="I1618" s="1214">
        <v>0</v>
      </c>
      <c r="J1618" s="1214">
        <v>-111449000</v>
      </c>
      <c r="K1618" s="1214">
        <v>0</v>
      </c>
      <c r="L1618" s="1296"/>
      <c r="M1618" s="1296"/>
      <c r="N1618" s="1296"/>
      <c r="O1618" s="1296"/>
      <c r="P1618" s="1296"/>
      <c r="Q1618" s="1296"/>
      <c r="R1618" s="1287"/>
    </row>
    <row r="1619" spans="1:18" s="1288" customFormat="1" ht="16.350000000000001" customHeight="1" outlineLevel="1">
      <c r="A1619" s="1281"/>
      <c r="B1619" s="1301" t="s">
        <v>1060</v>
      </c>
      <c r="C1619" s="1214"/>
      <c r="D1619" s="1214">
        <v>187758000</v>
      </c>
      <c r="E1619" s="1214"/>
      <c r="F1619" s="1214"/>
      <c r="G1619" s="1214"/>
      <c r="H1619" s="1214"/>
      <c r="I1619" s="1214"/>
      <c r="J1619" s="1214"/>
      <c r="K1619" s="1214"/>
      <c r="L1619" s="1296"/>
      <c r="M1619" s="1296"/>
      <c r="N1619" s="1296"/>
      <c r="O1619" s="1296"/>
      <c r="P1619" s="1296"/>
      <c r="Q1619" s="1296"/>
      <c r="R1619" s="1287"/>
    </row>
    <row r="1620" spans="1:18" s="1288" customFormat="1" ht="16.350000000000001" customHeight="1" outlineLevel="1" collapsed="1">
      <c r="A1620" s="1281"/>
      <c r="B1620" s="1301" t="s">
        <v>1061</v>
      </c>
      <c r="C1620" s="1214"/>
      <c r="D1620" s="1214"/>
      <c r="E1620" s="1214">
        <v>0</v>
      </c>
      <c r="F1620" s="1214">
        <v>0</v>
      </c>
      <c r="G1620" s="1214">
        <v>0</v>
      </c>
      <c r="H1620" s="1214">
        <v>96000000</v>
      </c>
      <c r="I1620" s="1214">
        <v>227487000</v>
      </c>
      <c r="J1620" s="1214">
        <v>147513000</v>
      </c>
      <c r="K1620" s="1214">
        <v>125000000</v>
      </c>
      <c r="L1620" s="1296"/>
      <c r="M1620" s="1296"/>
      <c r="N1620" s="1296"/>
      <c r="O1620" s="1296"/>
      <c r="P1620" s="1296"/>
      <c r="Q1620" s="1296"/>
      <c r="R1620" s="1287"/>
    </row>
    <row r="1621" spans="1:18" s="1288" customFormat="1" ht="16.350000000000001" customHeight="1" outlineLevel="1" collapsed="1">
      <c r="A1621" s="1281"/>
      <c r="B1621" s="1301" t="s">
        <v>1062</v>
      </c>
      <c r="C1621" s="1214"/>
      <c r="D1621" s="1214">
        <v>1079628000</v>
      </c>
      <c r="E1621" s="1214">
        <v>459417000</v>
      </c>
      <c r="F1621" s="1214">
        <v>171066000</v>
      </c>
      <c r="G1621" s="1214">
        <v>165290000</v>
      </c>
      <c r="H1621" s="1214">
        <v>556330000</v>
      </c>
      <c r="I1621" s="1214">
        <v>647131000</v>
      </c>
      <c r="J1621" s="1214">
        <v>863877000</v>
      </c>
      <c r="K1621" s="1214">
        <v>292526000</v>
      </c>
      <c r="L1621" s="1296"/>
      <c r="M1621" s="1296"/>
      <c r="N1621" s="1296"/>
      <c r="O1621" s="1296"/>
      <c r="P1621" s="1296"/>
      <c r="Q1621" s="1296"/>
      <c r="R1621" s="1287"/>
    </row>
    <row r="1622" spans="1:18" s="1288" customFormat="1" ht="16.350000000000001" customHeight="1" outlineLevel="1" collapsed="1">
      <c r="A1622" s="1281"/>
      <c r="B1622" s="1301" t="s">
        <v>1063</v>
      </c>
      <c r="C1622" s="1214"/>
      <c r="D1622" s="1214"/>
      <c r="E1622" s="1214">
        <v>0</v>
      </c>
      <c r="F1622" s="1214">
        <v>1992000</v>
      </c>
      <c r="G1622" s="1214">
        <v>90483000</v>
      </c>
      <c r="H1622" s="1214">
        <v>4423000</v>
      </c>
      <c r="I1622" s="1214">
        <v>0</v>
      </c>
      <c r="J1622" s="1214">
        <v>0</v>
      </c>
      <c r="K1622" s="1214">
        <v>0</v>
      </c>
      <c r="L1622" s="1296"/>
      <c r="M1622" s="1296"/>
      <c r="N1622" s="1296"/>
      <c r="O1622" s="1296"/>
      <c r="P1622" s="1296"/>
      <c r="Q1622" s="1296"/>
      <c r="R1622" s="1287"/>
    </row>
    <row r="1623" spans="1:18" s="1288" customFormat="1" ht="16.350000000000001" customHeight="1" outlineLevel="1">
      <c r="A1623" s="1281"/>
      <c r="B1623" s="1301" t="s">
        <v>1064</v>
      </c>
      <c r="C1623" s="1214"/>
      <c r="D1623" s="1214">
        <v>601180000</v>
      </c>
      <c r="E1623" s="1214"/>
      <c r="F1623" s="1214"/>
      <c r="G1623" s="1214"/>
      <c r="H1623" s="1214"/>
      <c r="I1623" s="1214"/>
      <c r="J1623" s="1214"/>
      <c r="K1623" s="1214"/>
      <c r="L1623" s="1296"/>
      <c r="M1623" s="1296"/>
      <c r="N1623" s="1296"/>
      <c r="O1623" s="1296"/>
      <c r="P1623" s="1296"/>
      <c r="Q1623" s="1296"/>
      <c r="R1623" s="1287"/>
    </row>
    <row r="1624" spans="1:18" s="1288" customFormat="1" ht="16.350000000000001" customHeight="1" outlineLevel="1" collapsed="1">
      <c r="A1624" s="1281"/>
      <c r="B1624" s="1301" t="s">
        <v>1065</v>
      </c>
      <c r="C1624" s="1214"/>
      <c r="D1624" s="1214"/>
      <c r="E1624" s="1214">
        <v>0</v>
      </c>
      <c r="F1624" s="1214">
        <v>0</v>
      </c>
      <c r="G1624" s="1214">
        <v>0</v>
      </c>
      <c r="H1624" s="1214">
        <v>0</v>
      </c>
      <c r="I1624" s="1214">
        <v>-1717425000</v>
      </c>
      <c r="J1624" s="1214">
        <v>0</v>
      </c>
      <c r="K1624" s="1214">
        <v>0</v>
      </c>
      <c r="L1624" s="1296"/>
      <c r="M1624" s="1296"/>
      <c r="N1624" s="1296"/>
      <c r="O1624" s="1296"/>
      <c r="P1624" s="1296"/>
      <c r="Q1624" s="1296"/>
      <c r="R1624" s="1287"/>
    </row>
    <row r="1625" spans="1:18" s="1288" customFormat="1" ht="16.350000000000001" customHeight="1" outlineLevel="1" collapsed="1">
      <c r="A1625" s="1281"/>
      <c r="B1625" s="1301" t="s">
        <v>1066</v>
      </c>
      <c r="C1625" s="1214"/>
      <c r="D1625" s="1214">
        <v>-1507414000</v>
      </c>
      <c r="E1625" s="1214">
        <v>-1855287000</v>
      </c>
      <c r="F1625" s="1214">
        <v>-2202907000</v>
      </c>
      <c r="G1625" s="1214">
        <v>-3364613000</v>
      </c>
      <c r="H1625" s="1214">
        <v>-19658922000</v>
      </c>
      <c r="I1625" s="1214">
        <v>-6418512000</v>
      </c>
      <c r="J1625" s="1214">
        <v>-6142367000</v>
      </c>
      <c r="K1625" s="1214">
        <v>-11053379000</v>
      </c>
      <c r="L1625" s="1296"/>
      <c r="M1625" s="1296"/>
      <c r="N1625" s="1296"/>
      <c r="O1625" s="1296"/>
      <c r="P1625" s="1296"/>
      <c r="Q1625" s="1296"/>
      <c r="R1625" s="1287"/>
    </row>
    <row r="1626" spans="1:18" s="1288" customFormat="1" ht="16.350000000000001" customHeight="1" outlineLevel="1">
      <c r="A1626" s="1281"/>
      <c r="B1626" s="1301" t="s">
        <v>1067</v>
      </c>
      <c r="C1626" s="1214"/>
      <c r="D1626" s="1214">
        <v>166756000</v>
      </c>
      <c r="E1626" s="1214">
        <v>1552549000</v>
      </c>
      <c r="F1626" s="1214">
        <v>2324537000</v>
      </c>
      <c r="G1626" s="1214">
        <v>3553443000</v>
      </c>
      <c r="H1626" s="1214">
        <v>20304428000</v>
      </c>
      <c r="I1626" s="1214">
        <v>6240912000</v>
      </c>
      <c r="J1626" s="1214">
        <v>5676345000</v>
      </c>
      <c r="K1626" s="1214">
        <v>11409690000</v>
      </c>
      <c r="L1626" s="1296"/>
      <c r="M1626" s="1296"/>
      <c r="N1626" s="1296"/>
      <c r="O1626" s="1296"/>
      <c r="P1626" s="1296"/>
      <c r="Q1626" s="1296"/>
      <c r="R1626" s="1287"/>
    </row>
    <row r="1627" spans="1:18" s="1288" customFormat="1" ht="16.350000000000001" customHeight="1" outlineLevel="1">
      <c r="A1627" s="1281"/>
      <c r="B1627" s="1301" t="s">
        <v>1068</v>
      </c>
      <c r="C1627" s="1283"/>
      <c r="D1627" s="1283">
        <v>22742000</v>
      </c>
      <c r="E1627" s="1283">
        <v>800695000</v>
      </c>
      <c r="F1627" s="1283"/>
      <c r="G1627" s="1283"/>
      <c r="H1627" s="1283"/>
      <c r="I1627" s="1283"/>
      <c r="J1627" s="1283"/>
      <c r="K1627" s="1283"/>
      <c r="L1627" s="1296"/>
      <c r="M1627" s="1296"/>
      <c r="N1627" s="1296"/>
      <c r="O1627" s="1296"/>
      <c r="P1627" s="1296"/>
      <c r="Q1627" s="1296"/>
      <c r="R1627" s="1287"/>
    </row>
    <row r="1628" spans="1:18" s="266" customFormat="1" ht="16.350000000000001" customHeight="1" outlineLevel="1">
      <c r="A1628" s="1281"/>
      <c r="B1628" s="1299" t="s">
        <v>1069</v>
      </c>
      <c r="C1628" s="1178"/>
      <c r="D1628" s="1178">
        <f>SUM(D1613:D1627)</f>
        <v>-53208292000</v>
      </c>
      <c r="E1628" s="1178">
        <v>-74194655000</v>
      </c>
      <c r="F1628" s="1178">
        <v>-50121729000</v>
      </c>
      <c r="G1628" s="1178">
        <f>SUM(G1613:G1626)</f>
        <v>-54777815000</v>
      </c>
      <c r="H1628" s="1179">
        <f>SUM(H1613:H1626)</f>
        <v>-55094455000</v>
      </c>
      <c r="I1628" s="1179">
        <f>SUM(I1613:I1626)</f>
        <v>-52232324000</v>
      </c>
      <c r="J1628" s="1179">
        <f>SUM(J1613:J1626)</f>
        <v>-48240716000</v>
      </c>
      <c r="K1628" s="1179">
        <f>SUM(K1613:K1626)</f>
        <v>-50366324000</v>
      </c>
      <c r="L1628" s="1229"/>
      <c r="M1628" s="1229"/>
      <c r="N1628" s="1229"/>
      <c r="O1628" s="1229"/>
      <c r="P1628" s="1229"/>
      <c r="Q1628" s="1229"/>
      <c r="R1628" s="1287"/>
    </row>
    <row r="1629" spans="1:18" s="1294" customFormat="1" ht="16.350000000000001" customHeight="1" outlineLevel="1" collapsed="1">
      <c r="A1629" s="1281"/>
      <c r="B1629" s="1310"/>
      <c r="C1629" s="1214"/>
      <c r="D1629" s="1214"/>
      <c r="E1629" s="1214"/>
      <c r="F1629" s="1214"/>
      <c r="G1629" s="1214"/>
      <c r="H1629" s="1214"/>
      <c r="I1629" s="1214"/>
      <c r="J1629" s="1214"/>
      <c r="K1629" s="1214"/>
      <c r="L1629" s="1306"/>
      <c r="M1629" s="1306"/>
      <c r="N1629" s="1306"/>
      <c r="O1629" s="1306"/>
      <c r="P1629" s="1306"/>
      <c r="Q1629" s="1306"/>
      <c r="R1629" s="1287"/>
    </row>
    <row r="1630" spans="1:18" s="1288" customFormat="1" ht="16.350000000000001" customHeight="1" outlineLevel="1" collapsed="1">
      <c r="A1630" s="1281"/>
      <c r="B1630" s="1301" t="s">
        <v>1070</v>
      </c>
      <c r="C1630" s="1214"/>
      <c r="D1630" s="1214">
        <v>600693859000</v>
      </c>
      <c r="E1630" s="1214">
        <v>688243578000</v>
      </c>
      <c r="F1630" s="1214">
        <v>700662328000</v>
      </c>
      <c r="G1630" s="1214">
        <v>518760718000</v>
      </c>
      <c r="H1630" s="1214">
        <v>352192935000</v>
      </c>
      <c r="I1630" s="1214">
        <v>256771377000</v>
      </c>
      <c r="J1630" s="1214">
        <v>151414926000</v>
      </c>
      <c r="K1630" s="1214">
        <v>165316930000</v>
      </c>
      <c r="L1630" s="1296"/>
      <c r="M1630" s="1296"/>
      <c r="N1630" s="1296"/>
      <c r="O1630" s="1296"/>
      <c r="P1630" s="1296"/>
      <c r="Q1630" s="1296"/>
      <c r="R1630" s="1287"/>
    </row>
    <row r="1631" spans="1:18" s="1288" customFormat="1" ht="16.350000000000001" customHeight="1" outlineLevel="1" collapsed="1">
      <c r="A1631" s="1281"/>
      <c r="B1631" s="1301" t="s">
        <v>1071</v>
      </c>
      <c r="C1631" s="1214"/>
      <c r="D1631" s="1214">
        <v>-572272534000</v>
      </c>
      <c r="E1631" s="1214">
        <v>-689033285000</v>
      </c>
      <c r="F1631" s="1214">
        <v>-676884103000</v>
      </c>
      <c r="G1631" s="1214">
        <v>-511113961000</v>
      </c>
      <c r="H1631" s="1214">
        <v>-330221892000</v>
      </c>
      <c r="I1631" s="1214">
        <v>-246983637000</v>
      </c>
      <c r="J1631" s="1214">
        <v>-139943897000</v>
      </c>
      <c r="K1631" s="1214">
        <v>-143567339000</v>
      </c>
      <c r="L1631" s="1296"/>
      <c r="M1631" s="1296"/>
      <c r="N1631" s="1296"/>
      <c r="O1631" s="1296"/>
      <c r="P1631" s="1296"/>
      <c r="Q1631" s="1296"/>
      <c r="R1631" s="1287"/>
    </row>
    <row r="1632" spans="1:18" s="1288" customFormat="1" ht="16.350000000000001" customHeight="1" outlineLevel="1" collapsed="1">
      <c r="A1632" s="1281"/>
      <c r="B1632" s="1301" t="s">
        <v>1072</v>
      </c>
      <c r="C1632" s="1214"/>
      <c r="D1632" s="1214">
        <v>-13808982000</v>
      </c>
      <c r="E1632" s="1214">
        <v>-29233198000</v>
      </c>
      <c r="F1632" s="1214">
        <v>-28975842000</v>
      </c>
      <c r="G1632" s="1214">
        <v>-35253044000</v>
      </c>
      <c r="H1632" s="1214">
        <v>-15824701000</v>
      </c>
      <c r="I1632" s="1214">
        <v>-9544637000</v>
      </c>
      <c r="J1632" s="1214">
        <v>-4215932000</v>
      </c>
      <c r="K1632" s="1214">
        <v>-998694000</v>
      </c>
      <c r="L1632" s="1296"/>
      <c r="M1632" s="1296"/>
      <c r="N1632" s="1296"/>
      <c r="O1632" s="1296"/>
      <c r="P1632" s="1296"/>
      <c r="Q1632" s="1296"/>
      <c r="R1632" s="1287"/>
    </row>
    <row r="1633" spans="1:18" s="1288" customFormat="1" ht="16.350000000000001" customHeight="1" outlineLevel="1" collapsed="1">
      <c r="A1633" s="1281"/>
      <c r="B1633" s="1301" t="s">
        <v>1073</v>
      </c>
      <c r="C1633" s="1214"/>
      <c r="D1633" s="1214">
        <v>-3345000</v>
      </c>
      <c r="E1633" s="1214">
        <v>-1250000</v>
      </c>
      <c r="F1633" s="1214">
        <v>-490000</v>
      </c>
      <c r="G1633" s="1214">
        <v>-472000</v>
      </c>
      <c r="H1633" s="1214">
        <v>-897000</v>
      </c>
      <c r="I1633" s="1214">
        <v>-12600000</v>
      </c>
      <c r="J1633" s="1214">
        <v>-187677000</v>
      </c>
      <c r="K1633" s="1214">
        <v>-604097000</v>
      </c>
      <c r="L1633" s="1296"/>
      <c r="M1633" s="1296"/>
      <c r="N1633" s="1296"/>
      <c r="O1633" s="1296"/>
      <c r="P1633" s="1296"/>
      <c r="Q1633" s="1296"/>
      <c r="R1633" s="1287"/>
    </row>
    <row r="1634" spans="1:18" s="1288" customFormat="1" ht="16.350000000000001" customHeight="1" outlineLevel="1" collapsed="1">
      <c r="A1634" s="1281"/>
      <c r="B1634" s="1301" t="s">
        <v>1074</v>
      </c>
      <c r="C1634" s="1214"/>
      <c r="D1634" s="1214"/>
      <c r="E1634" s="1214">
        <v>0</v>
      </c>
      <c r="F1634" s="1214">
        <v>3689713000</v>
      </c>
      <c r="G1634" s="1214">
        <v>9022687000</v>
      </c>
      <c r="H1634" s="1214">
        <v>16057361000</v>
      </c>
      <c r="I1634" s="1214">
        <v>2056419000</v>
      </c>
      <c r="J1634" s="1214">
        <v>670145000</v>
      </c>
      <c r="K1634" s="1214">
        <v>130000</v>
      </c>
      <c r="L1634" s="1296"/>
      <c r="M1634" s="1296"/>
      <c r="N1634" s="1296"/>
      <c r="O1634" s="1296"/>
      <c r="P1634" s="1296"/>
      <c r="Q1634" s="1296"/>
      <c r="R1634" s="1287"/>
    </row>
    <row r="1635" spans="1:18" s="1288" customFormat="1" ht="16.350000000000001" customHeight="1" outlineLevel="1" collapsed="1">
      <c r="A1635" s="1281"/>
      <c r="B1635" s="1301" t="s">
        <v>1075</v>
      </c>
      <c r="C1635" s="1214"/>
      <c r="D1635" s="1214">
        <v>-17727687000</v>
      </c>
      <c r="E1635" s="1214">
        <v>0</v>
      </c>
      <c r="F1635" s="1214">
        <v>-3243483000</v>
      </c>
      <c r="G1635" s="1214">
        <v>-8720045000</v>
      </c>
      <c r="H1635" s="1214">
        <v>-16059430000</v>
      </c>
      <c r="I1635" s="1214">
        <v>-1200522000</v>
      </c>
      <c r="J1635" s="1214">
        <v>-919883000</v>
      </c>
      <c r="K1635" s="1214">
        <v>-59902000</v>
      </c>
      <c r="L1635" s="1296"/>
      <c r="M1635" s="1296"/>
      <c r="N1635" s="1296"/>
      <c r="O1635" s="1296"/>
      <c r="P1635" s="1296"/>
      <c r="Q1635" s="1296"/>
      <c r="R1635" s="1287"/>
    </row>
    <row r="1636" spans="1:18" s="1288" customFormat="1" ht="16.350000000000001" customHeight="1" outlineLevel="1" collapsed="1">
      <c r="A1636" s="1281"/>
      <c r="B1636" s="1301" t="s">
        <v>1076</v>
      </c>
      <c r="C1636" s="1214"/>
      <c r="D1636" s="1214"/>
      <c r="E1636" s="1214">
        <v>44988662000</v>
      </c>
      <c r="F1636" s="1214">
        <v>0</v>
      </c>
      <c r="G1636" s="1214">
        <v>0</v>
      </c>
      <c r="H1636" s="1214">
        <v>0</v>
      </c>
      <c r="I1636" s="1214">
        <v>0</v>
      </c>
      <c r="J1636" s="1214">
        <v>0</v>
      </c>
      <c r="K1636" s="1214">
        <v>14934897000</v>
      </c>
      <c r="L1636" s="1296"/>
      <c r="M1636" s="1296"/>
      <c r="N1636" s="1296"/>
      <c r="O1636" s="1296"/>
      <c r="P1636" s="1296"/>
      <c r="Q1636" s="1296"/>
      <c r="R1636" s="1287"/>
    </row>
    <row r="1637" spans="1:18" s="1288" customFormat="1" ht="16.350000000000001" customHeight="1" outlineLevel="1">
      <c r="A1637" s="1281"/>
      <c r="B1637" s="1301" t="s">
        <v>1077</v>
      </c>
      <c r="C1637" s="1214"/>
      <c r="D1637" s="1214"/>
      <c r="E1637" s="1214">
        <v>0</v>
      </c>
      <c r="F1637" s="1214">
        <v>0</v>
      </c>
      <c r="G1637" s="1214">
        <v>0</v>
      </c>
      <c r="H1637" s="1214">
        <v>0</v>
      </c>
      <c r="I1637" s="1214">
        <v>0</v>
      </c>
      <c r="J1637" s="1214">
        <v>0</v>
      </c>
      <c r="K1637" s="1214">
        <v>-68959000</v>
      </c>
      <c r="L1637" s="1296"/>
      <c r="M1637" s="1296"/>
      <c r="N1637" s="1296"/>
      <c r="O1637" s="1296"/>
      <c r="P1637" s="1296"/>
      <c r="Q1637" s="1296"/>
      <c r="R1637" s="1287"/>
    </row>
    <row r="1638" spans="1:18" s="266" customFormat="1" ht="16.350000000000001" customHeight="1" outlineLevel="1">
      <c r="A1638" s="1281"/>
      <c r="B1638" s="1299" t="s">
        <v>1078</v>
      </c>
      <c r="C1638" s="1178"/>
      <c r="D1638" s="1178">
        <f>SUM(D1630:D1637)</f>
        <v>-3118689000</v>
      </c>
      <c r="E1638" s="1178">
        <v>14964507000</v>
      </c>
      <c r="F1638" s="1178">
        <v>-4751877000</v>
      </c>
      <c r="G1638" s="1178">
        <f>SUM(G1630:G1637)</f>
        <v>-27304117000</v>
      </c>
      <c r="H1638" s="1179">
        <f>SUM(H1630:H1637)</f>
        <v>6143376000</v>
      </c>
      <c r="I1638" s="1179">
        <f>SUM(I1630:I1637)</f>
        <v>1086400000</v>
      </c>
      <c r="J1638" s="1179">
        <f>SUM(J1630:J1637)</f>
        <v>6817682000</v>
      </c>
      <c r="K1638" s="1179">
        <f>SUM(K1630:K1637)</f>
        <v>34952966000</v>
      </c>
      <c r="L1638" s="1229"/>
      <c r="M1638" s="1229"/>
      <c r="N1638" s="1229"/>
      <c r="O1638" s="1229"/>
      <c r="P1638" s="1229"/>
      <c r="Q1638" s="1229"/>
      <c r="R1638" s="1287"/>
    </row>
    <row r="1639" spans="1:18" s="1294" customFormat="1" ht="16.350000000000001" customHeight="1" outlineLevel="1">
      <c r="A1639" s="1281"/>
      <c r="B1639" s="1310"/>
      <c r="C1639" s="1214"/>
      <c r="D1639" s="1214"/>
      <c r="E1639" s="1214"/>
      <c r="F1639" s="1214"/>
      <c r="G1639" s="1214"/>
      <c r="H1639" s="1214"/>
      <c r="I1639" s="1214"/>
      <c r="J1639" s="1214"/>
      <c r="K1639" s="1214"/>
      <c r="L1639" s="1306"/>
      <c r="M1639" s="1306"/>
      <c r="N1639" s="1306"/>
      <c r="O1639" s="1306"/>
      <c r="P1639" s="1306"/>
      <c r="Q1639" s="1306"/>
      <c r="R1639" s="1287"/>
    </row>
    <row r="1640" spans="1:18" s="1229" customFormat="1" ht="16.350000000000001" customHeight="1" outlineLevel="1" collapsed="1">
      <c r="A1640" s="1281"/>
      <c r="B1640" s="1311" t="s">
        <v>1079</v>
      </c>
      <c r="C1640" s="1227"/>
      <c r="D1640" s="1227">
        <v>18337417000</v>
      </c>
      <c r="E1640" s="1227">
        <v>16559271000</v>
      </c>
      <c r="F1640" s="1227">
        <v>8390900000</v>
      </c>
      <c r="G1640" s="1227">
        <f>H1642</f>
        <v>17691541000</v>
      </c>
      <c r="H1640" s="1227">
        <f>I1642</f>
        <v>5931130000</v>
      </c>
      <c r="I1640" s="1227">
        <f>J1642</f>
        <v>12452609000</v>
      </c>
      <c r="J1640" s="1227">
        <f>K1642</f>
        <v>17205341000</v>
      </c>
      <c r="K1640" s="1227">
        <v>4042343000</v>
      </c>
      <c r="L1640" s="1312"/>
      <c r="M1640" s="1312"/>
      <c r="N1640" s="1312"/>
      <c r="O1640" s="1312"/>
      <c r="P1640" s="1312"/>
      <c r="Q1640" s="1312"/>
      <c r="R1640" s="1287"/>
    </row>
    <row r="1641" spans="1:18" s="1294" customFormat="1" ht="16.350000000000001" customHeight="1" outlineLevel="1" collapsed="1">
      <c r="A1641" s="1281"/>
      <c r="B1641" s="1313" t="s">
        <v>1080</v>
      </c>
      <c r="C1641" s="1214"/>
      <c r="D1641" s="1214">
        <f>D1611+D1628+D1638</f>
        <v>8410337000</v>
      </c>
      <c r="E1641" s="1214">
        <v>1778146000</v>
      </c>
      <c r="F1641" s="1214">
        <v>8168371000</v>
      </c>
      <c r="G1641" s="1214">
        <f>G1611+G1628+G1638</f>
        <v>-9300641000</v>
      </c>
      <c r="H1641" s="1214">
        <f>H1611+H1628+H1638</f>
        <v>11760411000</v>
      </c>
      <c r="I1641" s="1214">
        <f>I1611+I1628+I1638</f>
        <v>-6521483000</v>
      </c>
      <c r="J1641" s="1214">
        <v>-4752732000</v>
      </c>
      <c r="K1641" s="1214">
        <v>13162998000</v>
      </c>
      <c r="L1641" s="1306"/>
      <c r="M1641" s="1306"/>
      <c r="N1641" s="1306"/>
      <c r="O1641" s="1306"/>
      <c r="P1641" s="1306"/>
      <c r="Q1641" s="1306"/>
      <c r="R1641" s="1287"/>
    </row>
    <row r="1642" spans="1:18" s="266" customFormat="1" ht="16.350000000000001" customHeight="1" outlineLevel="1">
      <c r="A1642" s="1281"/>
      <c r="B1642" s="1299" t="s">
        <v>1081</v>
      </c>
      <c r="C1642" s="1218"/>
      <c r="D1642" s="1218">
        <f>D1640+D1641</f>
        <v>26747754000</v>
      </c>
      <c r="E1642" s="1218">
        <v>18337417000</v>
      </c>
      <c r="F1642" s="1218">
        <v>16559271000</v>
      </c>
      <c r="G1642" s="1218">
        <f>G1641+G1640</f>
        <v>8390900000</v>
      </c>
      <c r="H1642" s="1180">
        <f>H1641+H1640</f>
        <v>17691541000</v>
      </c>
      <c r="I1642" s="1180">
        <v>5931130000</v>
      </c>
      <c r="J1642" s="1180">
        <f>J1641+J1640</f>
        <v>12452609000</v>
      </c>
      <c r="K1642" s="1180">
        <f>K1641+K1640</f>
        <v>17205341000</v>
      </c>
      <c r="L1642" s="1229"/>
      <c r="M1642" s="1229"/>
      <c r="N1642" s="1229"/>
      <c r="O1642" s="1229"/>
      <c r="P1642" s="1229"/>
      <c r="Q1642" s="1229"/>
      <c r="R1642" s="1287"/>
    </row>
    <row r="1643" spans="1:18" s="1316" customFormat="1" ht="16.350000000000001" customHeight="1" outlineLevel="1">
      <c r="A1643" s="1281"/>
      <c r="B1643" s="1314"/>
      <c r="C1643" s="1315"/>
      <c r="D1643" s="1315"/>
      <c r="E1643" s="1315"/>
      <c r="F1643" s="1315"/>
      <c r="G1643" s="1315"/>
      <c r="H1643" s="1315"/>
      <c r="I1643" s="1315"/>
      <c r="J1643" s="1315"/>
      <c r="K1643" s="1315"/>
      <c r="L1643" s="1315"/>
      <c r="M1643" s="1315"/>
      <c r="N1643" s="1315"/>
      <c r="O1643" s="1315"/>
      <c r="P1643" s="1315"/>
      <c r="Q1643" s="1315"/>
      <c r="R1643" s="1287"/>
    </row>
    <row r="1644" spans="1:18" s="1316" customFormat="1" ht="16.350000000000001" customHeight="1" outlineLevel="1" thickBot="1">
      <c r="A1644" s="1317"/>
      <c r="B1644" s="1318"/>
      <c r="C1644" s="1319"/>
      <c r="D1644" s="1319"/>
      <c r="E1644" s="1319"/>
      <c r="F1644" s="1319"/>
      <c r="G1644" s="1319"/>
      <c r="H1644" s="1319"/>
      <c r="I1644" s="1319"/>
      <c r="J1644" s="1319"/>
      <c r="K1644" s="1319"/>
      <c r="L1644" s="1319"/>
      <c r="M1644" s="1319"/>
      <c r="N1644" s="1319"/>
      <c r="O1644" s="1319"/>
      <c r="P1644" s="1319"/>
      <c r="Q1644" s="1319"/>
      <c r="R1644" s="1320"/>
    </row>
    <row r="1645" spans="1:18" s="290" customFormat="1" ht="14.1" customHeight="1" thickTop="1">
      <c r="A1645" s="285"/>
      <c r="B1645" s="286"/>
      <c r="C1645" s="287"/>
      <c r="D1645" s="287"/>
      <c r="E1645" s="287"/>
      <c r="F1645" s="287"/>
      <c r="G1645" s="287"/>
      <c r="H1645" s="287"/>
      <c r="I1645" s="287"/>
      <c r="J1645" s="287"/>
      <c r="K1645" s="287"/>
      <c r="L1645" s="288"/>
      <c r="M1645" s="288"/>
      <c r="N1645" s="288"/>
      <c r="O1645" s="288"/>
      <c r="P1645" s="288"/>
      <c r="Q1645" s="288"/>
      <c r="R1645" s="289"/>
    </row>
    <row r="1664" spans="1:18" s="450" customFormat="1" ht="14.1" customHeight="1">
      <c r="A1664" s="1321"/>
      <c r="B1664" s="396"/>
      <c r="C1664" s="396"/>
      <c r="D1664" s="396"/>
      <c r="E1664" s="396"/>
      <c r="F1664" s="396"/>
      <c r="G1664" s="396"/>
      <c r="H1664" s="396"/>
      <c r="I1664" s="396"/>
      <c r="J1664" s="396"/>
      <c r="K1664" s="396"/>
      <c r="L1664" s="396"/>
      <c r="M1664" s="396"/>
      <c r="N1664" s="396"/>
      <c r="O1664" s="396"/>
      <c r="P1664" s="396"/>
      <c r="Q1664" s="396"/>
      <c r="R1664" s="1321"/>
    </row>
    <row r="1665" spans="1:18" s="450" customFormat="1" ht="14.1" customHeight="1">
      <c r="A1665" s="1321"/>
      <c r="B1665" s="396"/>
      <c r="C1665" s="396"/>
      <c r="D1665" s="396"/>
      <c r="E1665" s="396"/>
      <c r="F1665" s="396"/>
      <c r="G1665" s="396"/>
      <c r="H1665" s="396"/>
      <c r="I1665" s="396"/>
      <c r="J1665" s="396"/>
      <c r="K1665" s="396"/>
      <c r="L1665" s="396"/>
      <c r="M1665" s="396"/>
      <c r="N1665" s="396"/>
      <c r="O1665" s="396"/>
      <c r="P1665" s="396"/>
      <c r="Q1665" s="396"/>
      <c r="R1665" s="1321"/>
    </row>
    <row r="1666" spans="1:18" s="450" customFormat="1" ht="14.1" customHeight="1">
      <c r="A1666" s="1321"/>
      <c r="B1666" s="396"/>
      <c r="C1666" s="396"/>
      <c r="D1666" s="396"/>
      <c r="E1666" s="396"/>
      <c r="F1666" s="396"/>
      <c r="G1666" s="396"/>
      <c r="H1666" s="396"/>
      <c r="I1666" s="396"/>
      <c r="J1666" s="396"/>
      <c r="K1666" s="396"/>
      <c r="L1666" s="396"/>
      <c r="M1666" s="396"/>
      <c r="N1666" s="396"/>
      <c r="O1666" s="396"/>
      <c r="P1666" s="396"/>
      <c r="Q1666" s="396"/>
      <c r="R1666" s="1321"/>
    </row>
    <row r="1667" spans="1:18" s="450" customFormat="1" ht="14.1" customHeight="1">
      <c r="A1667" s="1321"/>
      <c r="B1667" s="396"/>
      <c r="C1667" s="396"/>
      <c r="D1667" s="396"/>
      <c r="E1667" s="396"/>
      <c r="F1667" s="396"/>
      <c r="G1667" s="396"/>
      <c r="H1667" s="396"/>
      <c r="I1667" s="396"/>
      <c r="J1667" s="396"/>
      <c r="K1667" s="396"/>
      <c r="L1667" s="396"/>
      <c r="M1667" s="396"/>
      <c r="N1667" s="396"/>
      <c r="O1667" s="396"/>
      <c r="P1667" s="396"/>
      <c r="Q1667" s="396"/>
      <c r="R1667" s="1321"/>
    </row>
    <row r="1668" spans="1:18" s="450" customFormat="1" ht="14.1" customHeight="1">
      <c r="A1668" s="1321"/>
      <c r="B1668" s="396"/>
      <c r="C1668" s="396"/>
      <c r="D1668" s="396"/>
      <c r="E1668" s="396"/>
      <c r="F1668" s="396"/>
      <c r="G1668" s="396"/>
      <c r="H1668" s="396"/>
      <c r="I1668" s="396"/>
      <c r="J1668" s="396"/>
      <c r="K1668" s="396"/>
      <c r="L1668" s="396"/>
      <c r="M1668" s="396"/>
      <c r="N1668" s="396"/>
      <c r="O1668" s="396"/>
      <c r="P1668" s="396"/>
      <c r="Q1668" s="396"/>
      <c r="R1668" s="1321"/>
    </row>
    <row r="1669" spans="1:18" s="450" customFormat="1" ht="14.1" customHeight="1">
      <c r="A1669" s="1321"/>
      <c r="B1669" s="396"/>
      <c r="C1669" s="396"/>
      <c r="D1669" s="396"/>
      <c r="E1669" s="396"/>
      <c r="F1669" s="396"/>
      <c r="G1669" s="396"/>
      <c r="H1669" s="396"/>
      <c r="I1669" s="396"/>
      <c r="J1669" s="396"/>
      <c r="K1669" s="396"/>
      <c r="L1669" s="396"/>
      <c r="M1669" s="396"/>
      <c r="N1669" s="396"/>
      <c r="O1669" s="396"/>
      <c r="P1669" s="396"/>
      <c r="Q1669" s="396"/>
      <c r="R1669" s="1321"/>
    </row>
    <row r="1670" spans="1:18" s="450" customFormat="1" ht="14.1" customHeight="1">
      <c r="A1670" s="1321"/>
      <c r="B1670" s="396"/>
      <c r="C1670" s="396"/>
      <c r="D1670" s="396"/>
      <c r="E1670" s="396"/>
      <c r="F1670" s="396"/>
      <c r="G1670" s="396"/>
      <c r="H1670" s="396"/>
      <c r="I1670" s="396"/>
      <c r="J1670" s="396"/>
      <c r="K1670" s="396"/>
      <c r="L1670" s="396"/>
      <c r="M1670" s="396"/>
      <c r="N1670" s="396"/>
      <c r="O1670" s="396"/>
      <c r="P1670" s="396"/>
      <c r="Q1670" s="396"/>
      <c r="R1670" s="1321"/>
    </row>
    <row r="1671" spans="1:18" s="450" customFormat="1" ht="14.1" customHeight="1">
      <c r="A1671" s="1321"/>
      <c r="B1671" s="396"/>
      <c r="C1671" s="396"/>
      <c r="D1671" s="396"/>
      <c r="E1671" s="396"/>
      <c r="F1671" s="396"/>
      <c r="G1671" s="396"/>
      <c r="H1671" s="396"/>
      <c r="I1671" s="396"/>
      <c r="J1671" s="396"/>
      <c r="K1671" s="396"/>
      <c r="L1671" s="396"/>
      <c r="M1671" s="396"/>
      <c r="N1671" s="396"/>
      <c r="O1671" s="396"/>
      <c r="P1671" s="396"/>
      <c r="Q1671" s="396"/>
      <c r="R1671" s="1321"/>
    </row>
    <row r="1672" spans="1:18" s="290" customFormat="1" ht="14.1" customHeight="1">
      <c r="A1672" s="1321"/>
      <c r="B1672" s="396"/>
      <c r="C1672" s="396"/>
      <c r="D1672" s="396"/>
      <c r="E1672" s="396"/>
      <c r="F1672" s="396"/>
      <c r="G1672" s="396"/>
      <c r="H1672" s="396"/>
      <c r="I1672" s="396"/>
      <c r="J1672" s="396"/>
      <c r="K1672" s="396"/>
      <c r="L1672" s="396"/>
      <c r="M1672" s="396"/>
      <c r="N1672" s="396"/>
      <c r="O1672" s="396"/>
      <c r="P1672" s="396"/>
      <c r="Q1672" s="396"/>
      <c r="R1672" s="1321"/>
    </row>
    <row r="1673" spans="1:18" s="1322" customFormat="1" ht="14.1" customHeight="1">
      <c r="A1673" s="1321"/>
      <c r="B1673" s="396"/>
      <c r="C1673" s="396"/>
      <c r="D1673" s="396"/>
      <c r="E1673" s="396"/>
      <c r="F1673" s="396"/>
      <c r="G1673" s="396"/>
      <c r="H1673" s="396"/>
      <c r="I1673" s="396"/>
      <c r="J1673" s="396"/>
      <c r="K1673" s="396"/>
      <c r="L1673" s="396"/>
      <c r="M1673" s="396"/>
      <c r="N1673" s="396"/>
      <c r="O1673" s="396"/>
      <c r="P1673" s="396"/>
      <c r="Q1673" s="396"/>
      <c r="R1673" s="1321"/>
    </row>
    <row r="1674" spans="1:18" s="290" customFormat="1" ht="14.1" customHeight="1">
      <c r="A1674" s="1321"/>
      <c r="B1674" s="396"/>
      <c r="C1674" s="396"/>
      <c r="D1674" s="396"/>
      <c r="E1674" s="396"/>
      <c r="F1674" s="396"/>
      <c r="G1674" s="396"/>
      <c r="H1674" s="396"/>
      <c r="I1674" s="396"/>
      <c r="J1674" s="396"/>
      <c r="K1674" s="396"/>
      <c r="L1674" s="396"/>
      <c r="M1674" s="396"/>
      <c r="N1674" s="396"/>
      <c r="O1674" s="396"/>
      <c r="P1674" s="396"/>
      <c r="Q1674" s="396"/>
      <c r="R1674" s="1321"/>
    </row>
    <row r="1675" spans="1:18" s="290" customFormat="1" ht="14.1" customHeight="1">
      <c r="A1675" s="1321"/>
      <c r="B1675" s="396"/>
      <c r="C1675" s="396"/>
      <c r="D1675" s="396"/>
      <c r="E1675" s="396"/>
      <c r="F1675" s="396"/>
      <c r="G1675" s="396"/>
      <c r="H1675" s="396"/>
      <c r="I1675" s="396"/>
      <c r="J1675" s="396"/>
      <c r="K1675" s="396"/>
      <c r="L1675" s="396"/>
      <c r="M1675" s="396"/>
      <c r="N1675" s="396"/>
      <c r="O1675" s="396"/>
      <c r="P1675" s="396"/>
      <c r="Q1675" s="396"/>
      <c r="R1675" s="1321"/>
    </row>
    <row r="1676" spans="1:18" s="290" customFormat="1" ht="14.1" customHeight="1">
      <c r="A1676" s="1321"/>
      <c r="B1676" s="396"/>
      <c r="C1676" s="396"/>
      <c r="D1676" s="396"/>
      <c r="E1676" s="396"/>
      <c r="F1676" s="396"/>
      <c r="G1676" s="396"/>
      <c r="H1676" s="396"/>
      <c r="I1676" s="396"/>
      <c r="J1676" s="396"/>
      <c r="K1676" s="396"/>
      <c r="L1676" s="396"/>
      <c r="M1676" s="396"/>
      <c r="N1676" s="396"/>
      <c r="O1676" s="396"/>
      <c r="P1676" s="396"/>
      <c r="Q1676" s="396"/>
      <c r="R1676" s="1321"/>
    </row>
    <row r="1677" spans="1:18" s="290" customFormat="1" ht="14.1" customHeight="1">
      <c r="A1677" s="1321"/>
      <c r="B1677" s="396"/>
      <c r="C1677" s="396"/>
      <c r="D1677" s="396"/>
      <c r="E1677" s="396"/>
      <c r="F1677" s="396"/>
      <c r="G1677" s="396"/>
      <c r="H1677" s="396"/>
      <c r="I1677" s="396"/>
      <c r="J1677" s="396"/>
      <c r="K1677" s="396"/>
      <c r="L1677" s="396"/>
      <c r="M1677" s="396"/>
      <c r="N1677" s="396"/>
      <c r="O1677" s="396"/>
      <c r="P1677" s="396"/>
      <c r="Q1677" s="396"/>
      <c r="R1677" s="1321"/>
    </row>
    <row r="1678" spans="1:18" s="290" customFormat="1" ht="14.1" customHeight="1">
      <c r="A1678" s="1321"/>
      <c r="B1678" s="396"/>
      <c r="C1678" s="396"/>
      <c r="D1678" s="396"/>
      <c r="E1678" s="396"/>
      <c r="F1678" s="396"/>
      <c r="G1678" s="396"/>
      <c r="H1678" s="396"/>
      <c r="I1678" s="396"/>
      <c r="J1678" s="396"/>
      <c r="K1678" s="396"/>
      <c r="L1678" s="396"/>
      <c r="M1678" s="396"/>
      <c r="N1678" s="396"/>
      <c r="O1678" s="396"/>
      <c r="P1678" s="396"/>
      <c r="Q1678" s="396"/>
      <c r="R1678" s="1321"/>
    </row>
    <row r="1679" spans="1:18" s="290" customFormat="1" ht="14.1" customHeight="1">
      <c r="A1679" s="1321"/>
      <c r="B1679" s="396"/>
      <c r="C1679" s="396"/>
      <c r="D1679" s="396"/>
      <c r="E1679" s="396"/>
      <c r="F1679" s="396"/>
      <c r="G1679" s="396"/>
      <c r="H1679" s="396"/>
      <c r="I1679" s="396"/>
      <c r="J1679" s="396"/>
      <c r="K1679" s="396"/>
      <c r="L1679" s="396"/>
      <c r="M1679" s="396"/>
      <c r="N1679" s="396"/>
      <c r="O1679" s="396"/>
      <c r="P1679" s="396"/>
      <c r="Q1679" s="396"/>
      <c r="R1679" s="1321"/>
    </row>
    <row r="1680" spans="1:18" s="290" customFormat="1" ht="14.1" customHeight="1">
      <c r="A1680" s="1321"/>
      <c r="B1680" s="396"/>
      <c r="C1680" s="396"/>
      <c r="D1680" s="396"/>
      <c r="E1680" s="396"/>
      <c r="F1680" s="396"/>
      <c r="G1680" s="396"/>
      <c r="H1680" s="396"/>
      <c r="I1680" s="396"/>
      <c r="J1680" s="396"/>
      <c r="K1680" s="396"/>
      <c r="L1680" s="396"/>
      <c r="M1680" s="396"/>
      <c r="N1680" s="396"/>
      <c r="O1680" s="396"/>
      <c r="P1680" s="396"/>
      <c r="Q1680" s="396"/>
      <c r="R1680" s="1321"/>
    </row>
    <row r="1681" spans="1:18" s="290" customFormat="1" ht="14.1" customHeight="1">
      <c r="A1681" s="1321"/>
      <c r="B1681" s="396"/>
      <c r="C1681" s="396"/>
      <c r="D1681" s="396"/>
      <c r="E1681" s="396"/>
      <c r="F1681" s="396"/>
      <c r="G1681" s="396"/>
      <c r="H1681" s="396"/>
      <c r="I1681" s="396"/>
      <c r="J1681" s="396"/>
      <c r="K1681" s="396"/>
      <c r="L1681" s="396"/>
      <c r="M1681" s="396"/>
      <c r="N1681" s="396"/>
      <c r="O1681" s="396"/>
      <c r="P1681" s="396"/>
      <c r="Q1681" s="396"/>
      <c r="R1681" s="1321"/>
    </row>
    <row r="1682" spans="1:18" s="290" customFormat="1" ht="14.1" customHeight="1">
      <c r="A1682" s="1321"/>
      <c r="B1682" s="396"/>
      <c r="C1682" s="396"/>
      <c r="D1682" s="396"/>
      <c r="E1682" s="396"/>
      <c r="F1682" s="396"/>
      <c r="G1682" s="396"/>
      <c r="H1682" s="396"/>
      <c r="I1682" s="396"/>
      <c r="J1682" s="396"/>
      <c r="K1682" s="396"/>
      <c r="L1682" s="396"/>
      <c r="M1682" s="396"/>
      <c r="N1682" s="396"/>
      <c r="O1682" s="396"/>
      <c r="P1682" s="396"/>
      <c r="Q1682" s="396"/>
      <c r="R1682" s="1321"/>
    </row>
    <row r="1683" spans="1:18" s="1322" customFormat="1" ht="14.1" customHeight="1">
      <c r="A1683" s="1321"/>
      <c r="B1683" s="396"/>
      <c r="C1683" s="396"/>
      <c r="D1683" s="396"/>
      <c r="E1683" s="396"/>
      <c r="F1683" s="396"/>
      <c r="G1683" s="396"/>
      <c r="H1683" s="396"/>
      <c r="I1683" s="396"/>
      <c r="J1683" s="396"/>
      <c r="K1683" s="396"/>
      <c r="L1683" s="396"/>
      <c r="M1683" s="396"/>
      <c r="N1683" s="396"/>
      <c r="O1683" s="396"/>
      <c r="P1683" s="396"/>
      <c r="Q1683" s="396"/>
      <c r="R1683" s="1321"/>
    </row>
    <row r="1684" spans="1:18" s="290" customFormat="1" ht="14.1" customHeight="1">
      <c r="A1684" s="1321"/>
      <c r="B1684" s="396"/>
      <c r="C1684" s="396"/>
      <c r="D1684" s="396"/>
      <c r="E1684" s="396"/>
      <c r="F1684" s="396"/>
      <c r="G1684" s="396"/>
      <c r="H1684" s="396"/>
      <c r="I1684" s="396"/>
      <c r="J1684" s="396"/>
      <c r="K1684" s="396"/>
      <c r="L1684" s="396"/>
      <c r="M1684" s="396"/>
      <c r="N1684" s="396"/>
      <c r="O1684" s="396"/>
      <c r="P1684" s="396"/>
      <c r="Q1684" s="396"/>
      <c r="R1684" s="1321"/>
    </row>
    <row r="1685" spans="1:18" s="290" customFormat="1" ht="14.1" customHeight="1">
      <c r="A1685" s="1321"/>
      <c r="B1685" s="396"/>
      <c r="C1685" s="396"/>
      <c r="D1685" s="396"/>
      <c r="E1685" s="396"/>
      <c r="F1685" s="396"/>
      <c r="G1685" s="396"/>
      <c r="H1685" s="396"/>
      <c r="I1685" s="396"/>
      <c r="J1685" s="396"/>
      <c r="K1685" s="396"/>
      <c r="L1685" s="396"/>
      <c r="M1685" s="396"/>
      <c r="N1685" s="396"/>
      <c r="O1685" s="396"/>
      <c r="P1685" s="396"/>
      <c r="Q1685" s="396"/>
      <c r="R1685" s="1321"/>
    </row>
    <row r="1686" spans="1:18" s="290" customFormat="1" ht="14.1" customHeight="1">
      <c r="A1686" s="1321"/>
      <c r="B1686" s="396"/>
      <c r="C1686" s="396"/>
      <c r="D1686" s="396"/>
      <c r="E1686" s="396"/>
      <c r="F1686" s="396"/>
      <c r="G1686" s="396"/>
      <c r="H1686" s="396"/>
      <c r="I1686" s="396"/>
      <c r="J1686" s="396"/>
      <c r="K1686" s="396"/>
      <c r="L1686" s="396"/>
      <c r="M1686" s="396"/>
      <c r="N1686" s="396"/>
      <c r="O1686" s="396"/>
      <c r="P1686" s="396"/>
      <c r="Q1686" s="396"/>
      <c r="R1686" s="1321"/>
    </row>
    <row r="1687" spans="1:18" s="290" customFormat="1" ht="14.1" customHeight="1">
      <c r="A1687" s="1321"/>
      <c r="B1687" s="396"/>
      <c r="C1687" s="396"/>
      <c r="D1687" s="396"/>
      <c r="E1687" s="396"/>
      <c r="F1687" s="396"/>
      <c r="G1687" s="396"/>
      <c r="H1687" s="396"/>
      <c r="I1687" s="396"/>
      <c r="J1687" s="396"/>
      <c r="K1687" s="396"/>
      <c r="L1687" s="396"/>
      <c r="M1687" s="396"/>
      <c r="N1687" s="396"/>
      <c r="O1687" s="396"/>
      <c r="P1687" s="396"/>
      <c r="Q1687" s="396"/>
      <c r="R1687" s="1321"/>
    </row>
    <row r="1688" spans="1:18" s="290" customFormat="1" ht="14.1" customHeight="1">
      <c r="A1688" s="1321"/>
      <c r="B1688" s="396"/>
      <c r="C1688" s="396"/>
      <c r="D1688" s="396"/>
      <c r="E1688" s="396"/>
      <c r="F1688" s="396"/>
      <c r="G1688" s="396"/>
      <c r="H1688" s="396"/>
      <c r="I1688" s="396"/>
      <c r="J1688" s="396"/>
      <c r="K1688" s="396"/>
      <c r="L1688" s="396"/>
      <c r="M1688" s="396"/>
      <c r="N1688" s="396"/>
      <c r="O1688" s="396"/>
      <c r="P1688" s="396"/>
      <c r="Q1688" s="396"/>
      <c r="R1688" s="1321"/>
    </row>
    <row r="1689" spans="1:18" s="290" customFormat="1" ht="14.1" customHeight="1">
      <c r="A1689" s="1321"/>
      <c r="B1689" s="396"/>
      <c r="C1689" s="396"/>
      <c r="D1689" s="396"/>
      <c r="E1689" s="396"/>
      <c r="F1689" s="396"/>
      <c r="G1689" s="396"/>
      <c r="H1689" s="396"/>
      <c r="I1689" s="396"/>
      <c r="J1689" s="396"/>
      <c r="K1689" s="396"/>
      <c r="L1689" s="396"/>
      <c r="M1689" s="396"/>
      <c r="N1689" s="396"/>
      <c r="O1689" s="396"/>
      <c r="P1689" s="396"/>
      <c r="Q1689" s="396"/>
      <c r="R1689" s="1321"/>
    </row>
    <row r="1690" spans="1:18" s="290" customFormat="1" ht="14.1" customHeight="1">
      <c r="A1690" s="1321"/>
      <c r="B1690" s="396"/>
      <c r="C1690" s="396"/>
      <c r="D1690" s="396"/>
      <c r="E1690" s="396"/>
      <c r="F1690" s="396"/>
      <c r="G1690" s="396"/>
      <c r="H1690" s="396"/>
      <c r="I1690" s="396"/>
      <c r="J1690" s="396"/>
      <c r="K1690" s="396"/>
      <c r="L1690" s="396"/>
      <c r="M1690" s="396"/>
      <c r="N1690" s="396"/>
      <c r="O1690" s="396"/>
      <c r="P1690" s="396"/>
      <c r="Q1690" s="396"/>
      <c r="R1690" s="1321"/>
    </row>
    <row r="1691" spans="1:18" s="290" customFormat="1" ht="14.1" customHeight="1">
      <c r="A1691" s="1321"/>
      <c r="B1691" s="396"/>
      <c r="C1691" s="396"/>
      <c r="D1691" s="396"/>
      <c r="E1691" s="396"/>
      <c r="F1691" s="396"/>
      <c r="G1691" s="396"/>
      <c r="H1691" s="396"/>
      <c r="I1691" s="396"/>
      <c r="J1691" s="396"/>
      <c r="K1691" s="396"/>
      <c r="L1691" s="396"/>
      <c r="M1691" s="396"/>
      <c r="N1691" s="396"/>
      <c r="O1691" s="396"/>
      <c r="P1691" s="396"/>
      <c r="Q1691" s="396"/>
      <c r="R1691" s="1321"/>
    </row>
    <row r="1692" spans="1:18" s="290" customFormat="1" ht="14.1" customHeight="1">
      <c r="A1692" s="1321"/>
      <c r="B1692" s="396"/>
      <c r="C1692" s="396"/>
      <c r="D1692" s="396"/>
      <c r="E1692" s="396"/>
      <c r="F1692" s="396"/>
      <c r="G1692" s="396"/>
      <c r="H1692" s="396"/>
      <c r="I1692" s="396"/>
      <c r="J1692" s="396"/>
      <c r="K1692" s="396"/>
      <c r="L1692" s="396"/>
      <c r="M1692" s="396"/>
      <c r="N1692" s="396"/>
      <c r="O1692" s="396"/>
      <c r="P1692" s="396"/>
      <c r="Q1692" s="396"/>
      <c r="R1692" s="1321"/>
    </row>
    <row r="1693" spans="1:18" s="1322" customFormat="1" ht="14.1" customHeight="1">
      <c r="A1693" s="1321"/>
      <c r="B1693" s="396"/>
      <c r="C1693" s="396"/>
      <c r="D1693" s="396"/>
      <c r="E1693" s="396"/>
      <c r="F1693" s="396"/>
      <c r="G1693" s="396"/>
      <c r="H1693" s="396"/>
      <c r="I1693" s="396"/>
      <c r="J1693" s="396"/>
      <c r="K1693" s="396"/>
      <c r="L1693" s="396"/>
      <c r="M1693" s="396"/>
      <c r="N1693" s="396"/>
      <c r="O1693" s="396"/>
      <c r="P1693" s="396"/>
      <c r="Q1693" s="396"/>
      <c r="R1693" s="1321"/>
    </row>
    <row r="1694" spans="1:18" s="290" customFormat="1" ht="14.1" customHeight="1">
      <c r="A1694" s="1321"/>
      <c r="B1694" s="396"/>
      <c r="C1694" s="396"/>
      <c r="D1694" s="396"/>
      <c r="E1694" s="396"/>
      <c r="F1694" s="396"/>
      <c r="G1694" s="396"/>
      <c r="H1694" s="396"/>
      <c r="I1694" s="396"/>
      <c r="J1694" s="396"/>
      <c r="K1694" s="396"/>
      <c r="L1694" s="396"/>
      <c r="M1694" s="396"/>
      <c r="N1694" s="396"/>
      <c r="O1694" s="396"/>
      <c r="P1694" s="396"/>
      <c r="Q1694" s="396"/>
      <c r="R1694" s="1321"/>
    </row>
    <row r="1695" spans="1:18" s="290" customFormat="1" ht="14.1" customHeight="1">
      <c r="A1695" s="1321"/>
      <c r="B1695" s="396"/>
      <c r="C1695" s="396"/>
      <c r="D1695" s="396"/>
      <c r="E1695" s="396"/>
      <c r="F1695" s="396"/>
      <c r="G1695" s="396"/>
      <c r="H1695" s="396"/>
      <c r="I1695" s="396"/>
      <c r="J1695" s="396"/>
      <c r="K1695" s="396"/>
      <c r="L1695" s="396"/>
      <c r="M1695" s="396"/>
      <c r="N1695" s="396"/>
      <c r="O1695" s="396"/>
      <c r="P1695" s="396"/>
      <c r="Q1695" s="396"/>
      <c r="R1695" s="1321"/>
    </row>
    <row r="1696" spans="1:18" s="290" customFormat="1" ht="14.1" customHeight="1">
      <c r="A1696" s="1321"/>
      <c r="B1696" s="396"/>
      <c r="C1696" s="396"/>
      <c r="D1696" s="396"/>
      <c r="E1696" s="396"/>
      <c r="F1696" s="396"/>
      <c r="G1696" s="396"/>
      <c r="H1696" s="396"/>
      <c r="I1696" s="396"/>
      <c r="J1696" s="396"/>
      <c r="K1696" s="396"/>
      <c r="L1696" s="396"/>
      <c r="M1696" s="396"/>
      <c r="N1696" s="396"/>
      <c r="O1696" s="396"/>
      <c r="P1696" s="396"/>
      <c r="Q1696" s="396"/>
      <c r="R1696" s="1321"/>
    </row>
    <row r="1697" spans="1:18" s="290" customFormat="1" ht="14.1" customHeight="1">
      <c r="A1697" s="1321"/>
      <c r="B1697" s="396"/>
      <c r="C1697" s="396"/>
      <c r="D1697" s="396"/>
      <c r="E1697" s="396"/>
      <c r="F1697" s="396"/>
      <c r="G1697" s="396"/>
      <c r="H1697" s="396"/>
      <c r="I1697" s="396"/>
      <c r="J1697" s="396"/>
      <c r="K1697" s="396"/>
      <c r="L1697" s="396"/>
      <c r="M1697" s="396"/>
      <c r="N1697" s="396"/>
      <c r="O1697" s="396"/>
      <c r="P1697" s="396"/>
      <c r="Q1697" s="396"/>
      <c r="R1697" s="1321"/>
    </row>
    <row r="1698" spans="1:18" s="290" customFormat="1" ht="14.1" customHeight="1">
      <c r="A1698" s="1321"/>
      <c r="B1698" s="396"/>
      <c r="C1698" s="396"/>
      <c r="D1698" s="396"/>
      <c r="E1698" s="396"/>
      <c r="F1698" s="396"/>
      <c r="G1698" s="396"/>
      <c r="H1698" s="396"/>
      <c r="I1698" s="396"/>
      <c r="J1698" s="396"/>
      <c r="K1698" s="396"/>
      <c r="L1698" s="396"/>
      <c r="M1698" s="396"/>
      <c r="N1698" s="396"/>
      <c r="O1698" s="396"/>
      <c r="P1698" s="396"/>
      <c r="Q1698" s="396"/>
      <c r="R1698" s="1321"/>
    </row>
    <row r="1699" spans="1:18" s="290" customFormat="1" ht="14.1" customHeight="1">
      <c r="A1699" s="1321"/>
      <c r="B1699" s="396"/>
      <c r="C1699" s="396"/>
      <c r="D1699" s="396"/>
      <c r="E1699" s="396"/>
      <c r="F1699" s="396"/>
      <c r="G1699" s="396"/>
      <c r="H1699" s="396"/>
      <c r="I1699" s="396"/>
      <c r="J1699" s="396"/>
      <c r="K1699" s="396"/>
      <c r="L1699" s="396"/>
      <c r="M1699" s="396"/>
      <c r="N1699" s="396"/>
      <c r="O1699" s="396"/>
      <c r="P1699" s="396"/>
      <c r="Q1699" s="396"/>
      <c r="R1699" s="1321"/>
    </row>
    <row r="1700" spans="1:18" s="290" customFormat="1" ht="14.1" customHeight="1">
      <c r="A1700" s="1321"/>
      <c r="B1700" s="396"/>
      <c r="C1700" s="396"/>
      <c r="D1700" s="396"/>
      <c r="E1700" s="396"/>
      <c r="F1700" s="396"/>
      <c r="G1700" s="396"/>
      <c r="H1700" s="396"/>
      <c r="I1700" s="396"/>
      <c r="J1700" s="396"/>
      <c r="K1700" s="396"/>
      <c r="L1700" s="396"/>
      <c r="M1700" s="396"/>
      <c r="N1700" s="396"/>
      <c r="O1700" s="396"/>
      <c r="P1700" s="396"/>
      <c r="Q1700" s="396"/>
      <c r="R1700" s="1321"/>
    </row>
    <row r="1701" spans="1:18" s="290" customFormat="1" ht="14.1" customHeight="1">
      <c r="A1701" s="1321"/>
      <c r="B1701" s="396"/>
      <c r="C1701" s="396"/>
      <c r="D1701" s="396"/>
      <c r="E1701" s="396"/>
      <c r="F1701" s="396"/>
      <c r="G1701" s="396"/>
      <c r="H1701" s="396"/>
      <c r="I1701" s="396"/>
      <c r="J1701" s="396"/>
      <c r="K1701" s="396"/>
      <c r="L1701" s="396"/>
      <c r="M1701" s="396"/>
      <c r="N1701" s="396"/>
      <c r="O1701" s="396"/>
      <c r="P1701" s="396"/>
      <c r="Q1701" s="396"/>
      <c r="R1701" s="1321"/>
    </row>
    <row r="1702" spans="1:18" s="290" customFormat="1" ht="14.1" customHeight="1">
      <c r="A1702" s="1321"/>
      <c r="B1702" s="396"/>
      <c r="C1702" s="396"/>
      <c r="D1702" s="396"/>
      <c r="E1702" s="396"/>
      <c r="F1702" s="396"/>
      <c r="G1702" s="396"/>
      <c r="H1702" s="396"/>
      <c r="I1702" s="396"/>
      <c r="J1702" s="396"/>
      <c r="K1702" s="396"/>
      <c r="L1702" s="396"/>
      <c r="M1702" s="396"/>
      <c r="N1702" s="396"/>
      <c r="O1702" s="396"/>
      <c r="P1702" s="396"/>
      <c r="Q1702" s="396"/>
      <c r="R1702" s="1321"/>
    </row>
    <row r="1703" spans="1:18" s="290" customFormat="1" ht="14.1" customHeight="1">
      <c r="A1703" s="1321"/>
      <c r="B1703" s="396"/>
      <c r="C1703" s="396"/>
      <c r="D1703" s="396"/>
      <c r="E1703" s="396"/>
      <c r="F1703" s="396"/>
      <c r="G1703" s="396"/>
      <c r="H1703" s="396"/>
      <c r="I1703" s="396"/>
      <c r="J1703" s="396"/>
      <c r="K1703" s="396"/>
      <c r="L1703" s="396"/>
      <c r="M1703" s="396"/>
      <c r="N1703" s="396"/>
      <c r="O1703" s="396"/>
      <c r="P1703" s="396"/>
      <c r="Q1703" s="396"/>
      <c r="R1703" s="1321"/>
    </row>
    <row r="1704" spans="1:18" s="290" customFormat="1" ht="14.1" customHeight="1">
      <c r="A1704" s="1321"/>
      <c r="B1704" s="396"/>
      <c r="C1704" s="396"/>
      <c r="D1704" s="396"/>
      <c r="E1704" s="396"/>
      <c r="F1704" s="396"/>
      <c r="G1704" s="396"/>
      <c r="H1704" s="396"/>
      <c r="I1704" s="396"/>
      <c r="J1704" s="396"/>
      <c r="K1704" s="396"/>
      <c r="L1704" s="396"/>
      <c r="M1704" s="396"/>
      <c r="N1704" s="396"/>
      <c r="O1704" s="396"/>
      <c r="P1704" s="396"/>
      <c r="Q1704" s="396"/>
      <c r="R1704" s="1321"/>
    </row>
    <row r="1705" spans="1:18" ht="14.1" customHeight="1">
      <c r="F1705" s="425"/>
      <c r="G1705" s="425"/>
      <c r="H1705" s="1324"/>
      <c r="I1705" s="1324"/>
      <c r="J1705" s="1324"/>
      <c r="K1705" s="1324"/>
      <c r="L1705" s="1325"/>
      <c r="M1705" s="1325"/>
      <c r="N1705" s="1325"/>
      <c r="O1705" s="1325"/>
      <c r="P1705" s="1326"/>
      <c r="Q1705" s="1326"/>
    </row>
    <row r="1706" spans="1:18" ht="14.1" customHeight="1">
      <c r="F1706" s="425"/>
      <c r="G1706" s="425"/>
      <c r="H1706" s="1324"/>
      <c r="I1706" s="1324"/>
      <c r="J1706" s="1324"/>
      <c r="K1706" s="1324"/>
      <c r="L1706" s="1325"/>
      <c r="M1706" s="1325"/>
      <c r="N1706" s="1325"/>
      <c r="O1706" s="1325"/>
      <c r="P1706" s="1326"/>
      <c r="Q1706" s="1326"/>
    </row>
    <row r="1707" spans="1:18" ht="14.1" customHeight="1">
      <c r="F1707" s="425"/>
      <c r="G1707" s="425"/>
      <c r="H1707" s="1324"/>
      <c r="I1707" s="1324"/>
      <c r="J1707" s="1324"/>
      <c r="K1707" s="1324"/>
      <c r="L1707" s="1325"/>
      <c r="M1707" s="1325"/>
      <c r="N1707" s="1325"/>
      <c r="O1707" s="1325"/>
      <c r="P1707" s="1326"/>
      <c r="Q1707" s="1326"/>
    </row>
    <row r="1708" spans="1:18" ht="14.1" customHeight="1">
      <c r="F1708" s="425"/>
      <c r="G1708" s="425"/>
      <c r="H1708" s="1324"/>
      <c r="I1708" s="1324"/>
      <c r="J1708" s="1324"/>
      <c r="K1708" s="1324"/>
      <c r="L1708" s="1325"/>
      <c r="M1708" s="1325"/>
      <c r="N1708" s="1325"/>
      <c r="O1708" s="1325"/>
      <c r="P1708" s="1326"/>
      <c r="Q1708" s="1326"/>
    </row>
    <row r="1709" spans="1:18" ht="14.1" customHeight="1">
      <c r="F1709" s="425"/>
      <c r="G1709" s="425"/>
      <c r="H1709" s="1324"/>
      <c r="I1709" s="1324"/>
      <c r="J1709" s="1324"/>
      <c r="K1709" s="1324"/>
      <c r="L1709" s="1325"/>
      <c r="M1709" s="1325"/>
      <c r="N1709" s="1325"/>
      <c r="O1709" s="1325"/>
      <c r="P1709" s="1326"/>
      <c r="Q1709" s="1326"/>
    </row>
  </sheetData>
  <mergeCells count="16">
    <mergeCell ref="A146:B146"/>
    <mergeCell ref="A2:B2"/>
    <mergeCell ref="A62:B62"/>
    <mergeCell ref="A102:B102"/>
    <mergeCell ref="A128:B128"/>
    <mergeCell ref="A138:B138"/>
    <mergeCell ref="A1009:B1009"/>
    <mergeCell ref="A1114:B1114"/>
    <mergeCell ref="A1481:B1481"/>
    <mergeCell ref="A1575:B1575"/>
    <mergeCell ref="A154:B154"/>
    <mergeCell ref="A616:B616"/>
    <mergeCell ref="A691:B691"/>
    <mergeCell ref="A710:B710"/>
    <mergeCell ref="A822:B822"/>
    <mergeCell ref="A916:B9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1:AD82"/>
  <sheetViews>
    <sheetView showGridLines="0" zoomScaleNormal="100" workbookViewId="0">
      <pane xSplit="2" ySplit="6" topLeftCell="T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.75" outlineLevelRow="1" outlineLevelCol="1"/>
  <cols>
    <col min="1" max="1" width="5.625" style="4" customWidth="1"/>
    <col min="2" max="2" width="50" style="4" customWidth="1"/>
    <col min="3" max="7" width="10.375" style="4" hidden="1" customWidth="1" outlineLevel="1"/>
    <col min="8" max="8" width="10.375" style="4" hidden="1" customWidth="1" outlineLevel="1" collapsed="1"/>
    <col min="9" max="10" width="10.375" style="4" hidden="1" customWidth="1" outlineLevel="1"/>
    <col min="11" max="11" width="11.75" style="4" hidden="1" customWidth="1" outlineLevel="1"/>
    <col min="12" max="13" width="11.125" style="4" hidden="1" customWidth="1" outlineLevel="1"/>
    <col min="14" max="14" width="7.75" style="4" hidden="1" customWidth="1" outlineLevel="1"/>
    <col min="15" max="16" width="10.375" style="4" hidden="1" customWidth="1" outlineLevel="1"/>
    <col min="17" max="17" width="10" style="4" hidden="1" customWidth="1" outlineLevel="1" collapsed="1"/>
    <col min="18" max="18" width="10.5" style="4" hidden="1" customWidth="1" outlineLevel="1"/>
    <col min="19" max="19" width="10.375" style="4" hidden="1" customWidth="1" outlineLevel="1"/>
    <col min="20" max="20" width="11.75" style="4" customWidth="1" collapsed="1"/>
    <col min="21" max="21" width="12.375" style="4" customWidth="1"/>
    <col min="22" max="22" width="11.75" style="4" bestFit="1" customWidth="1"/>
    <col min="23" max="26" width="12.375" style="4" customWidth="1"/>
    <col min="27" max="27" width="9.875" style="4" bestFit="1" customWidth="1"/>
    <col min="28" max="29" width="9" style="4"/>
    <col min="30" max="30" width="39.25" style="4" customWidth="1"/>
    <col min="31" max="16384" width="9" style="4"/>
  </cols>
  <sheetData>
    <row r="1" spans="2:30" ht="15.75" customHeight="1">
      <c r="W1" s="1546"/>
      <c r="X1" s="1546"/>
      <c r="Y1" s="1537"/>
      <c r="Z1" s="1537"/>
    </row>
    <row r="2" spans="2:30" ht="18.75">
      <c r="B2" s="1370" t="s">
        <v>181</v>
      </c>
      <c r="W2" s="1546"/>
      <c r="X2" s="1546"/>
      <c r="Y2" s="1537"/>
      <c r="Z2" s="1537"/>
    </row>
    <row r="3" spans="2:30">
      <c r="B3" s="25" t="s">
        <v>220</v>
      </c>
      <c r="W3" s="1546"/>
      <c r="X3" s="1546"/>
      <c r="Y3" s="1537"/>
      <c r="Z3" s="1537"/>
    </row>
    <row r="4" spans="2:30">
      <c r="B4" s="27" t="s">
        <v>41</v>
      </c>
      <c r="C4" s="79"/>
      <c r="D4" s="79"/>
      <c r="E4" s="79"/>
      <c r="F4" s="79"/>
      <c r="G4" s="79"/>
      <c r="H4" s="79"/>
      <c r="I4" s="79"/>
      <c r="J4" s="79"/>
      <c r="K4" s="79"/>
      <c r="L4" s="79" t="s">
        <v>1131</v>
      </c>
      <c r="M4" s="79"/>
      <c r="N4" s="12"/>
      <c r="O4" s="79"/>
      <c r="P4" s="79"/>
      <c r="R4" s="79"/>
      <c r="S4" s="79"/>
      <c r="T4" s="79"/>
      <c r="U4" s="79" t="s">
        <v>1131</v>
      </c>
      <c r="W4" s="79"/>
      <c r="X4" s="79"/>
      <c r="Y4" s="79"/>
      <c r="Z4" s="79"/>
    </row>
    <row r="5" spans="2:30" s="43" customFormat="1">
      <c r="B5" s="1352"/>
      <c r="C5" s="79" t="s">
        <v>174</v>
      </c>
      <c r="D5" s="79" t="s">
        <v>174</v>
      </c>
      <c r="E5" s="79" t="s">
        <v>174</v>
      </c>
      <c r="F5" s="79" t="s">
        <v>174</v>
      </c>
      <c r="G5" s="79" t="s">
        <v>174</v>
      </c>
      <c r="H5" s="79" t="s">
        <v>174</v>
      </c>
      <c r="I5" s="79" t="s">
        <v>174</v>
      </c>
      <c r="J5" s="79" t="s">
        <v>174</v>
      </c>
      <c r="K5" s="79" t="s">
        <v>174</v>
      </c>
      <c r="L5" s="79" t="s">
        <v>174</v>
      </c>
      <c r="M5" s="79" t="s">
        <v>174</v>
      </c>
      <c r="O5" s="79" t="s">
        <v>183</v>
      </c>
      <c r="P5" s="79" t="s">
        <v>183</v>
      </c>
      <c r="Q5" s="79" t="s">
        <v>183</v>
      </c>
      <c r="R5" s="79" t="s">
        <v>183</v>
      </c>
      <c r="S5" s="79" t="s">
        <v>183</v>
      </c>
      <c r="T5" s="79" t="s">
        <v>183</v>
      </c>
      <c r="U5" s="79" t="s">
        <v>183</v>
      </c>
      <c r="V5" s="79" t="s">
        <v>183</v>
      </c>
      <c r="W5" s="79" t="s">
        <v>183</v>
      </c>
      <c r="X5" s="79" t="s">
        <v>183</v>
      </c>
      <c r="Y5" s="79" t="s">
        <v>183</v>
      </c>
      <c r="Z5" s="79" t="s">
        <v>183</v>
      </c>
    </row>
    <row r="6" spans="2:30">
      <c r="B6" s="1349"/>
      <c r="C6" s="1350" t="s">
        <v>163</v>
      </c>
      <c r="D6" s="1350" t="s">
        <v>164</v>
      </c>
      <c r="E6" s="1350" t="s">
        <v>165</v>
      </c>
      <c r="F6" s="1350" t="s">
        <v>166</v>
      </c>
      <c r="G6" s="1350" t="s">
        <v>182</v>
      </c>
      <c r="H6" s="31" t="s">
        <v>1130</v>
      </c>
      <c r="I6" s="1350" t="s">
        <v>1135</v>
      </c>
      <c r="J6" s="31" t="s">
        <v>1139</v>
      </c>
      <c r="K6" s="1350" t="s">
        <v>1143</v>
      </c>
      <c r="L6" s="31" t="s">
        <v>1162</v>
      </c>
      <c r="M6" s="1350" t="s">
        <v>1183</v>
      </c>
      <c r="N6" s="32"/>
      <c r="O6" s="1350" t="s">
        <v>166</v>
      </c>
      <c r="P6" s="1350" t="s">
        <v>182</v>
      </c>
      <c r="Q6" s="31" t="s">
        <v>1130</v>
      </c>
      <c r="R6" s="1350" t="s">
        <v>1135</v>
      </c>
      <c r="S6" s="31" t="s">
        <v>1139</v>
      </c>
      <c r="T6" s="1350" t="s">
        <v>1143</v>
      </c>
      <c r="U6" s="31" t="s">
        <v>1162</v>
      </c>
      <c r="V6" s="1350" t="s">
        <v>1183</v>
      </c>
      <c r="W6" s="31" t="s">
        <v>1188</v>
      </c>
      <c r="X6" s="1350" t="s">
        <v>1202</v>
      </c>
      <c r="Y6" s="1350" t="s">
        <v>1195</v>
      </c>
      <c r="Z6" s="1350" t="s">
        <v>1228</v>
      </c>
    </row>
    <row r="7" spans="2:30">
      <c r="B7" s="11" t="s">
        <v>0</v>
      </c>
      <c r="AD7" s="1540"/>
    </row>
    <row r="8" spans="2:30" hidden="1" outlineLevel="1">
      <c r="B8" s="54" t="s">
        <v>6</v>
      </c>
      <c r="AD8" s="1540"/>
    </row>
    <row r="9" spans="2:30" hidden="1" outlineLevel="1">
      <c r="B9" s="55" t="s">
        <v>1</v>
      </c>
      <c r="C9" s="37">
        <v>300106952</v>
      </c>
      <c r="D9" s="37">
        <v>329826903</v>
      </c>
      <c r="E9" s="37">
        <v>332781412</v>
      </c>
      <c r="F9" s="37">
        <v>349155459.73858011</v>
      </c>
      <c r="G9" s="37">
        <v>348486016</v>
      </c>
      <c r="H9" s="37">
        <v>357316979</v>
      </c>
      <c r="I9" s="37">
        <v>345370977</v>
      </c>
      <c r="J9" s="37">
        <v>340170507.76780331</v>
      </c>
      <c r="K9" s="37">
        <v>337003437</v>
      </c>
      <c r="L9" s="37">
        <v>381781333</v>
      </c>
      <c r="M9" s="37">
        <v>373154344</v>
      </c>
      <c r="N9" s="37"/>
      <c r="O9" s="37">
        <v>344837482.326352</v>
      </c>
      <c r="P9" s="37">
        <v>343646781</v>
      </c>
      <c r="Q9" s="4">
        <v>352985987</v>
      </c>
      <c r="R9" s="37">
        <v>341189977</v>
      </c>
      <c r="S9" s="37">
        <f>336513344-S10</f>
        <v>336125497.76780331</v>
      </c>
      <c r="T9" s="37">
        <v>333038318</v>
      </c>
      <c r="U9" s="37">
        <v>377302570</v>
      </c>
      <c r="V9" s="4">
        <v>368847377</v>
      </c>
      <c r="W9" s="37">
        <v>361751315</v>
      </c>
      <c r="X9" s="37">
        <v>355702424</v>
      </c>
      <c r="Y9" s="37">
        <v>367049986</v>
      </c>
      <c r="Z9" s="37">
        <v>388390665</v>
      </c>
      <c r="AD9" s="1539"/>
    </row>
    <row r="10" spans="2:30" hidden="1" outlineLevel="1">
      <c r="B10" s="55" t="s">
        <v>1215</v>
      </c>
      <c r="C10" s="37"/>
      <c r="D10" s="37"/>
      <c r="E10" s="37"/>
      <c r="F10" s="37"/>
      <c r="G10" s="37"/>
      <c r="H10" s="37"/>
      <c r="I10" s="37"/>
      <c r="J10" s="37">
        <v>387846.232196667</v>
      </c>
      <c r="K10" s="37">
        <v>757803</v>
      </c>
      <c r="L10" s="37">
        <v>1614644</v>
      </c>
      <c r="M10" s="37">
        <v>182301</v>
      </c>
      <c r="N10" s="37"/>
      <c r="O10" s="37"/>
      <c r="P10" s="37"/>
      <c r="R10" s="37"/>
      <c r="S10" s="37">
        <v>387846.232196667</v>
      </c>
      <c r="T10" s="37">
        <v>757803</v>
      </c>
      <c r="U10" s="37">
        <v>1614644</v>
      </c>
      <c r="V10" s="4">
        <v>182301</v>
      </c>
      <c r="W10" s="37">
        <v>302955</v>
      </c>
      <c r="X10" s="37">
        <v>593040</v>
      </c>
      <c r="Y10" s="37">
        <v>1360729</v>
      </c>
      <c r="Z10" s="37">
        <v>8585212</v>
      </c>
      <c r="AD10" s="1539"/>
    </row>
    <row r="11" spans="2:30" hidden="1" outlineLevel="1">
      <c r="B11" s="55" t="s">
        <v>131</v>
      </c>
      <c r="C11" s="37">
        <v>600000</v>
      </c>
      <c r="D11" s="37">
        <v>600000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R11" s="37"/>
      <c r="S11" s="37"/>
      <c r="T11" s="37"/>
      <c r="U11" s="37"/>
      <c r="W11" s="37"/>
      <c r="AD11" s="1539"/>
    </row>
    <row r="12" spans="2:30" hidden="1" outlineLevel="1">
      <c r="B12" s="55" t="s">
        <v>1094</v>
      </c>
      <c r="C12" s="37"/>
      <c r="D12" s="37"/>
      <c r="E12" s="37"/>
      <c r="F12" s="37"/>
      <c r="G12" s="37"/>
      <c r="H12" s="37"/>
      <c r="I12" s="37"/>
      <c r="J12" s="37">
        <v>5130054</v>
      </c>
      <c r="K12" s="37"/>
      <c r="L12" s="37">
        <v>5248354</v>
      </c>
      <c r="M12" s="37">
        <v>6636373</v>
      </c>
      <c r="N12" s="37"/>
      <c r="O12" s="37">
        <v>286177692.03992802</v>
      </c>
      <c r="P12" s="37">
        <v>308554522</v>
      </c>
      <c r="Q12" s="4">
        <v>313566212</v>
      </c>
      <c r="R12" s="37">
        <f>306122243-1004158</f>
        <v>305118085</v>
      </c>
      <c r="S12" s="37">
        <v>308444695</v>
      </c>
      <c r="T12" s="37">
        <v>312774470</v>
      </c>
      <c r="U12" s="37">
        <v>397902022</v>
      </c>
      <c r="V12" s="4">
        <v>384401109</v>
      </c>
      <c r="W12" s="37">
        <v>383268776</v>
      </c>
      <c r="X12" s="37">
        <v>391739561</v>
      </c>
      <c r="Y12" s="37">
        <v>421347372</v>
      </c>
      <c r="Z12" s="37">
        <v>446892313</v>
      </c>
      <c r="AD12" s="1539"/>
    </row>
    <row r="13" spans="2:30" hidden="1" outlineLevel="1">
      <c r="B13" s="55" t="s">
        <v>1184</v>
      </c>
      <c r="C13" s="37"/>
      <c r="D13" s="37"/>
      <c r="E13" s="37"/>
      <c r="F13" s="37"/>
      <c r="G13" s="37"/>
      <c r="H13" s="37"/>
      <c r="I13" s="37"/>
      <c r="J13" s="37"/>
      <c r="K13" s="37"/>
      <c r="L13" s="37">
        <v>2024868</v>
      </c>
      <c r="M13" s="37">
        <v>2073059</v>
      </c>
      <c r="N13" s="37"/>
      <c r="O13" s="37"/>
      <c r="P13" s="37"/>
      <c r="R13" s="37"/>
      <c r="S13" s="37"/>
      <c r="T13" s="37"/>
      <c r="U13" s="37"/>
      <c r="W13" s="37"/>
      <c r="AD13" s="1539"/>
    </row>
    <row r="14" spans="2:30" hidden="1" outlineLevel="1">
      <c r="B14" s="55" t="s">
        <v>1169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R14" s="37"/>
      <c r="S14" s="37"/>
      <c r="T14" s="37"/>
      <c r="U14" s="37">
        <v>18635</v>
      </c>
      <c r="V14" s="4">
        <v>344</v>
      </c>
      <c r="W14" s="37"/>
      <c r="AD14" s="1539"/>
    </row>
    <row r="15" spans="2:30" hidden="1" outlineLevel="1">
      <c r="B15" s="55" t="s">
        <v>61</v>
      </c>
      <c r="C15" s="37">
        <v>2445263</v>
      </c>
      <c r="D15" s="37">
        <v>2373022</v>
      </c>
      <c r="E15" s="37">
        <v>2221553</v>
      </c>
      <c r="F15" s="37">
        <v>2404379.216</v>
      </c>
      <c r="G15" s="37">
        <v>4075445</v>
      </c>
      <c r="H15" s="37">
        <v>2404379</v>
      </c>
      <c r="I15" s="37">
        <v>4649942</v>
      </c>
      <c r="J15" s="37"/>
      <c r="K15" s="37">
        <v>4751375</v>
      </c>
      <c r="L15" s="37"/>
      <c r="M15" s="37"/>
      <c r="N15" s="37"/>
      <c r="O15" s="37"/>
      <c r="P15" s="37"/>
      <c r="R15" s="37"/>
      <c r="S15" s="37"/>
      <c r="T15" s="37"/>
      <c r="U15" s="37"/>
      <c r="W15" s="37"/>
      <c r="AD15" s="1539"/>
    </row>
    <row r="16" spans="2:30" hidden="1" outlineLevel="1">
      <c r="B16" s="55" t="s">
        <v>52</v>
      </c>
      <c r="C16" s="37">
        <v>1683424</v>
      </c>
      <c r="D16" s="37">
        <v>2267960</v>
      </c>
      <c r="E16" s="37">
        <v>2713293</v>
      </c>
      <c r="F16" s="37">
        <v>3442439</v>
      </c>
      <c r="G16" s="37">
        <v>1964664</v>
      </c>
      <c r="H16" s="37">
        <v>6219157</v>
      </c>
      <c r="I16" s="37">
        <v>4629865</v>
      </c>
      <c r="J16" s="37">
        <v>5506252</v>
      </c>
      <c r="K16" s="37">
        <v>10151054</v>
      </c>
      <c r="L16" s="37">
        <v>19249279</v>
      </c>
      <c r="M16" s="37">
        <v>15224376</v>
      </c>
      <c r="N16" s="37"/>
      <c r="O16" s="37">
        <v>1677149</v>
      </c>
      <c r="P16" s="37">
        <v>1964664</v>
      </c>
      <c r="Q16" s="4">
        <v>3914677</v>
      </c>
      <c r="R16" s="37">
        <v>4629865</v>
      </c>
      <c r="S16" s="37">
        <v>5506252</v>
      </c>
      <c r="T16" s="37">
        <v>10151054</v>
      </c>
      <c r="U16" s="37">
        <v>19249279</v>
      </c>
      <c r="V16" s="4">
        <v>15224376</v>
      </c>
      <c r="W16" s="37">
        <v>11905489</v>
      </c>
      <c r="X16" s="37">
        <v>10403983</v>
      </c>
      <c r="Y16" s="37">
        <v>14528192</v>
      </c>
      <c r="Z16" s="37">
        <v>14880891</v>
      </c>
      <c r="AD16" s="1539"/>
    </row>
    <row r="17" spans="2:30" hidden="1" outlineLevel="1">
      <c r="B17" s="55" t="s">
        <v>60</v>
      </c>
      <c r="C17" s="37">
        <v>1367493</v>
      </c>
      <c r="D17" s="37">
        <v>1367493</v>
      </c>
      <c r="E17" s="37">
        <v>1367493</v>
      </c>
      <c r="F17" s="37">
        <v>26879316.798702389</v>
      </c>
      <c r="G17" s="37">
        <v>24091508</v>
      </c>
      <c r="H17" s="37">
        <v>26879316.798702389</v>
      </c>
      <c r="I17" s="37">
        <v>26879317</v>
      </c>
      <c r="J17" s="37">
        <v>26879317</v>
      </c>
      <c r="K17" s="37">
        <v>26879317</v>
      </c>
      <c r="L17" s="37">
        <v>92541134</v>
      </c>
      <c r="M17" s="37">
        <v>92541134</v>
      </c>
      <c r="N17" s="37"/>
      <c r="O17" s="37">
        <v>26879316.7987024</v>
      </c>
      <c r="P17" s="37">
        <v>24091508</v>
      </c>
      <c r="Q17" s="4">
        <v>26879316.7987024</v>
      </c>
      <c r="R17" s="37">
        <v>26879317</v>
      </c>
      <c r="S17" s="37">
        <v>26879317</v>
      </c>
      <c r="T17" s="37">
        <v>26879317</v>
      </c>
      <c r="U17" s="37">
        <v>92541134</v>
      </c>
      <c r="V17" s="4">
        <v>92541134</v>
      </c>
      <c r="W17" s="37">
        <v>67029310</v>
      </c>
      <c r="X17" s="37">
        <v>67029310</v>
      </c>
      <c r="Y17" s="37">
        <v>73552409</v>
      </c>
      <c r="Z17" s="37">
        <v>102794422</v>
      </c>
      <c r="AD17" s="1539"/>
    </row>
    <row r="18" spans="2:30" hidden="1" outlineLevel="1">
      <c r="B18" s="56" t="s">
        <v>1205</v>
      </c>
      <c r="C18" s="37">
        <v>250000</v>
      </c>
      <c r="D18" s="37">
        <v>350645</v>
      </c>
      <c r="E18" s="37">
        <v>150620</v>
      </c>
      <c r="F18" s="37">
        <v>150552</v>
      </c>
      <c r="G18" s="37">
        <v>50433</v>
      </c>
      <c r="H18" s="37">
        <v>314</v>
      </c>
      <c r="I18" s="37">
        <v>1268304</v>
      </c>
      <c r="J18" s="37">
        <v>1117551</v>
      </c>
      <c r="K18" s="37">
        <v>1165879</v>
      </c>
      <c r="L18" s="37">
        <v>1033846</v>
      </c>
      <c r="M18" s="37">
        <v>1055568</v>
      </c>
      <c r="N18" s="37"/>
      <c r="O18" s="37">
        <v>150552</v>
      </c>
      <c r="P18" s="37">
        <v>50433</v>
      </c>
      <c r="Q18" s="4">
        <v>314</v>
      </c>
      <c r="R18" s="37">
        <v>1268304</v>
      </c>
      <c r="S18" s="37">
        <v>1117551</v>
      </c>
      <c r="T18" s="37">
        <v>1165879</v>
      </c>
      <c r="U18" s="37">
        <v>1033846</v>
      </c>
      <c r="V18" s="4">
        <v>1055568</v>
      </c>
      <c r="W18" s="37">
        <v>779946</v>
      </c>
      <c r="X18" s="37">
        <v>812799</v>
      </c>
      <c r="Y18" s="37">
        <v>980759</v>
      </c>
      <c r="Z18" s="37">
        <v>973656</v>
      </c>
      <c r="AD18" s="1539"/>
    </row>
    <row r="19" spans="2:30" hidden="1" outlineLevel="1">
      <c r="B19" s="56" t="s">
        <v>1095</v>
      </c>
      <c r="C19" s="37"/>
      <c r="D19" s="37"/>
      <c r="E19" s="37"/>
      <c r="F19" s="37">
        <v>800467.73</v>
      </c>
      <c r="G19" s="37">
        <v>430006</v>
      </c>
      <c r="H19" s="37"/>
      <c r="I19" s="37"/>
      <c r="J19" s="37"/>
      <c r="K19" s="37"/>
      <c r="L19" s="37"/>
      <c r="M19" s="37"/>
      <c r="N19" s="37"/>
      <c r="O19" s="37">
        <v>800467.73</v>
      </c>
      <c r="P19" s="37">
        <v>430006</v>
      </c>
      <c r="R19" s="37"/>
      <c r="S19" s="37"/>
      <c r="T19" s="37"/>
      <c r="U19" s="37"/>
      <c r="W19" s="37">
        <v>353774</v>
      </c>
      <c r="X19" s="37">
        <v>294262</v>
      </c>
      <c r="Y19" s="37">
        <v>250193</v>
      </c>
      <c r="Z19" s="37">
        <v>210883</v>
      </c>
      <c r="AD19" s="1539"/>
    </row>
    <row r="20" spans="2:30" hidden="1" outlineLevel="1">
      <c r="B20" s="56" t="s">
        <v>1234</v>
      </c>
      <c r="C20" s="37"/>
      <c r="D20" s="37"/>
      <c r="E20" s="37"/>
      <c r="F20" s="37"/>
      <c r="G20" s="37">
        <v>3286803</v>
      </c>
      <c r="H20" s="37"/>
      <c r="I20" s="37"/>
      <c r="J20" s="37"/>
      <c r="K20" s="37"/>
      <c r="L20" s="37"/>
      <c r="M20" s="37">
        <v>228122</v>
      </c>
      <c r="N20" s="37"/>
      <c r="O20" s="37"/>
      <c r="P20" s="37">
        <v>13677376</v>
      </c>
      <c r="R20" s="37"/>
      <c r="S20" s="37"/>
      <c r="T20" s="37"/>
      <c r="U20" s="37"/>
      <c r="V20" s="4">
        <v>532914</v>
      </c>
      <c r="W20" s="37">
        <v>1985035</v>
      </c>
      <c r="X20" s="37">
        <v>2682252</v>
      </c>
      <c r="Y20" s="37">
        <v>3677242</v>
      </c>
      <c r="Z20" s="37">
        <v>4553930</v>
      </c>
      <c r="AD20" s="1539"/>
    </row>
    <row r="21" spans="2:30" hidden="1" outlineLevel="1">
      <c r="B21" s="56" t="s">
        <v>1206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R21" s="37"/>
      <c r="S21" s="37"/>
      <c r="T21" s="37"/>
      <c r="U21" s="37"/>
      <c r="W21" s="37"/>
      <c r="X21" s="37"/>
      <c r="Y21" s="37">
        <v>2370980</v>
      </c>
      <c r="Z21" s="37">
        <v>2234657</v>
      </c>
      <c r="AD21" s="1539"/>
    </row>
    <row r="22" spans="2:30" s="46" customFormat="1" collapsed="1">
      <c r="B22" s="57" t="s">
        <v>2</v>
      </c>
      <c r="C22" s="58">
        <f t="shared" ref="C22:H22" si="0">SUM(C9:C20)</f>
        <v>306453132</v>
      </c>
      <c r="D22" s="58">
        <f t="shared" si="0"/>
        <v>336786023</v>
      </c>
      <c r="E22" s="58">
        <f t="shared" si="0"/>
        <v>339234371</v>
      </c>
      <c r="F22" s="58">
        <f t="shared" si="0"/>
        <v>382832614.48328257</v>
      </c>
      <c r="G22" s="58">
        <f t="shared" si="0"/>
        <v>382384875</v>
      </c>
      <c r="H22" s="58">
        <f t="shared" si="0"/>
        <v>392820145.79870236</v>
      </c>
      <c r="I22" s="58">
        <f t="shared" ref="I22:M22" si="1">SUM(I9:I20)</f>
        <v>382798405</v>
      </c>
      <c r="J22" s="58">
        <f t="shared" si="1"/>
        <v>379191528</v>
      </c>
      <c r="K22" s="58">
        <f t="shared" si="1"/>
        <v>380708865</v>
      </c>
      <c r="L22" s="58">
        <f t="shared" si="1"/>
        <v>503493458</v>
      </c>
      <c r="M22" s="58">
        <f t="shared" si="1"/>
        <v>491095277</v>
      </c>
      <c r="N22" s="59"/>
      <c r="O22" s="58">
        <f t="shared" ref="O22:W22" si="2">SUM(O9:O20)</f>
        <v>660522659.89498246</v>
      </c>
      <c r="P22" s="58">
        <f t="shared" si="2"/>
        <v>692415290</v>
      </c>
      <c r="Q22" s="58">
        <f t="shared" si="2"/>
        <v>697346506.79870236</v>
      </c>
      <c r="R22" s="58">
        <f t="shared" si="2"/>
        <v>679085548</v>
      </c>
      <c r="S22" s="58">
        <f t="shared" si="2"/>
        <v>678461159</v>
      </c>
      <c r="T22" s="58">
        <f t="shared" si="2"/>
        <v>684766841</v>
      </c>
      <c r="U22" s="58">
        <f t="shared" si="2"/>
        <v>889662130</v>
      </c>
      <c r="V22" s="58">
        <f t="shared" si="2"/>
        <v>862785123</v>
      </c>
      <c r="W22" s="58">
        <f t="shared" si="2"/>
        <v>827376600</v>
      </c>
      <c r="X22" s="58">
        <f>SUM(X9:X21)</f>
        <v>829257631</v>
      </c>
      <c r="Y22" s="58">
        <f>SUM(Y9:Y21)</f>
        <v>885117862</v>
      </c>
      <c r="Z22" s="58">
        <f>SUM(Z9:Z21)</f>
        <v>969516629</v>
      </c>
      <c r="AA22" s="4"/>
      <c r="AC22" s="4"/>
      <c r="AD22" s="1540"/>
    </row>
    <row r="23" spans="2:30" hidden="1" outlineLevel="1">
      <c r="B23" s="54" t="s">
        <v>1093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R23" s="37"/>
      <c r="S23" s="37"/>
      <c r="T23" s="37"/>
      <c r="U23" s="37"/>
      <c r="W23" s="37"/>
      <c r="X23" s="37"/>
      <c r="Y23" s="37"/>
      <c r="Z23" s="37"/>
      <c r="AD23" s="1540"/>
    </row>
    <row r="24" spans="2:30" hidden="1" outlineLevel="1">
      <c r="B24" s="55" t="s">
        <v>3</v>
      </c>
      <c r="C24" s="37">
        <v>150360836</v>
      </c>
      <c r="D24" s="37">
        <v>156709275</v>
      </c>
      <c r="E24" s="37">
        <v>167631174.50900072</v>
      </c>
      <c r="F24" s="37">
        <v>182140503.17190999</v>
      </c>
      <c r="G24" s="37">
        <v>199040029</v>
      </c>
      <c r="H24" s="37">
        <v>218873586</v>
      </c>
      <c r="I24" s="37">
        <v>219236481</v>
      </c>
      <c r="J24" s="37">
        <v>205949194</v>
      </c>
      <c r="K24" s="37">
        <v>199744300</v>
      </c>
      <c r="L24" s="37">
        <v>224873040</v>
      </c>
      <c r="M24" s="37">
        <v>212998985</v>
      </c>
      <c r="N24" s="37"/>
      <c r="O24" s="37">
        <v>182140503.38167</v>
      </c>
      <c r="P24" s="37">
        <v>199040029</v>
      </c>
      <c r="Q24" s="4">
        <v>218873586</v>
      </c>
      <c r="R24" s="37">
        <v>219236481</v>
      </c>
      <c r="S24" s="37">
        <v>205949194</v>
      </c>
      <c r="T24" s="37">
        <v>199744300</v>
      </c>
      <c r="U24" s="37">
        <v>224873040</v>
      </c>
      <c r="V24" s="4">
        <v>212834556</v>
      </c>
      <c r="W24" s="37">
        <v>219435679</v>
      </c>
      <c r="X24" s="37">
        <v>218715746</v>
      </c>
      <c r="Y24" s="37">
        <v>233692709</v>
      </c>
      <c r="Z24" s="37">
        <v>243309168</v>
      </c>
      <c r="AD24" s="1539"/>
    </row>
    <row r="25" spans="2:30" hidden="1" outlineLevel="1">
      <c r="B25" s="56" t="s">
        <v>96</v>
      </c>
      <c r="C25" s="37">
        <v>971617</v>
      </c>
      <c r="D25" s="37">
        <v>1399186</v>
      </c>
      <c r="E25" s="37">
        <v>2204442</v>
      </c>
      <c r="F25" s="37">
        <v>6811317.8468475007</v>
      </c>
      <c r="G25" s="37">
        <v>8740995</v>
      </c>
      <c r="H25" s="37">
        <v>13993440</v>
      </c>
      <c r="I25" s="37">
        <v>9949468</v>
      </c>
      <c r="J25" s="37">
        <v>8563822</v>
      </c>
      <c r="K25" s="37">
        <v>12329046</v>
      </c>
      <c r="L25" s="37">
        <v>11726775</v>
      </c>
      <c r="M25" s="37">
        <v>10494928</v>
      </c>
      <c r="N25" s="37"/>
      <c r="O25" s="37">
        <v>6811317.8468474997</v>
      </c>
      <c r="P25" s="37">
        <v>8740995</v>
      </c>
      <c r="Q25" s="4">
        <v>13993440</v>
      </c>
      <c r="R25" s="37">
        <v>9949468</v>
      </c>
      <c r="S25" s="37">
        <v>8563822</v>
      </c>
      <c r="T25" s="37">
        <v>12329046</v>
      </c>
      <c r="U25" s="37">
        <v>11726775</v>
      </c>
      <c r="V25" s="4">
        <v>10494928</v>
      </c>
      <c r="W25" s="37">
        <v>20197184</v>
      </c>
      <c r="X25" s="37">
        <v>12233071</v>
      </c>
      <c r="Y25" s="37">
        <v>12843948</v>
      </c>
      <c r="Z25" s="37">
        <v>17330693</v>
      </c>
      <c r="AD25" s="1539"/>
    </row>
    <row r="26" spans="2:30" hidden="1" outlineLevel="1">
      <c r="B26" s="55" t="s">
        <v>1171</v>
      </c>
      <c r="C26" s="37">
        <v>5175779</v>
      </c>
      <c r="D26" s="37">
        <v>4990444</v>
      </c>
      <c r="E26" s="37">
        <v>4296062</v>
      </c>
      <c r="F26" s="37">
        <v>5654981</v>
      </c>
      <c r="G26" s="37">
        <v>5930486</v>
      </c>
      <c r="H26" s="37">
        <v>7769933</v>
      </c>
      <c r="I26" s="37">
        <v>7326252</v>
      </c>
      <c r="J26" s="37">
        <f>7944327+1081971</f>
        <v>9026298</v>
      </c>
      <c r="K26" s="37">
        <f>7508738+1288939</f>
        <v>8797677</v>
      </c>
      <c r="L26" s="37">
        <v>10233978</v>
      </c>
      <c r="M26" s="37">
        <v>9852867</v>
      </c>
      <c r="N26" s="37"/>
      <c r="O26" s="37">
        <v>5447803</v>
      </c>
      <c r="P26" s="37">
        <v>4408643</v>
      </c>
      <c r="Q26" s="4">
        <v>5769958</v>
      </c>
      <c r="R26" s="37">
        <v>4567759</v>
      </c>
      <c r="S26" s="37">
        <f>5581366+1081971</f>
        <v>6663337</v>
      </c>
      <c r="T26" s="37">
        <v>6085915</v>
      </c>
      <c r="U26" s="37">
        <v>9198907</v>
      </c>
      <c r="V26" s="4">
        <v>8600144</v>
      </c>
      <c r="W26" s="37">
        <v>12728588</v>
      </c>
      <c r="X26" s="37">
        <v>38113860</v>
      </c>
      <c r="Y26" s="37">
        <v>56595905</v>
      </c>
      <c r="Z26" s="37">
        <v>52282394</v>
      </c>
      <c r="AD26" s="1539"/>
    </row>
    <row r="27" spans="2:30" hidden="1" outlineLevel="1">
      <c r="B27" s="55" t="s">
        <v>1172</v>
      </c>
      <c r="C27" s="37">
        <v>644146</v>
      </c>
      <c r="D27" s="37">
        <v>598270</v>
      </c>
      <c r="E27" s="37">
        <v>1273073</v>
      </c>
      <c r="F27" s="37">
        <v>66747</v>
      </c>
      <c r="G27" s="37">
        <v>152274</v>
      </c>
      <c r="H27" s="37">
        <v>1464207</v>
      </c>
      <c r="I27" s="37">
        <v>172252</v>
      </c>
      <c r="J27" s="37">
        <v>75650</v>
      </c>
      <c r="K27" s="37">
        <v>142352</v>
      </c>
      <c r="L27" s="37">
        <v>164084</v>
      </c>
      <c r="M27" s="37">
        <v>102861</v>
      </c>
      <c r="N27" s="37"/>
      <c r="O27" s="37">
        <v>66747</v>
      </c>
      <c r="P27" s="37">
        <v>152274</v>
      </c>
      <c r="Q27" s="4">
        <v>1464207</v>
      </c>
      <c r="R27" s="37">
        <v>172252</v>
      </c>
      <c r="S27" s="37">
        <v>75650</v>
      </c>
      <c r="T27" s="37">
        <v>142352</v>
      </c>
      <c r="U27" s="37">
        <v>164084</v>
      </c>
      <c r="V27" s="4">
        <v>102861</v>
      </c>
      <c r="W27" s="37">
        <v>83529</v>
      </c>
      <c r="X27" s="37">
        <v>282606</v>
      </c>
      <c r="Y27" s="37">
        <v>1210412</v>
      </c>
      <c r="Z27" s="37">
        <v>1479069</v>
      </c>
      <c r="AD27" s="1539"/>
    </row>
    <row r="28" spans="2:30" hidden="1" outlineLevel="1">
      <c r="B28" s="55" t="s">
        <v>56</v>
      </c>
      <c r="C28" s="37">
        <v>552327</v>
      </c>
      <c r="D28" s="37">
        <v>640440</v>
      </c>
      <c r="E28" s="37">
        <v>464737</v>
      </c>
      <c r="F28" s="37">
        <v>522021</v>
      </c>
      <c r="G28" s="37">
        <v>400763</v>
      </c>
      <c r="H28" s="37">
        <v>656210</v>
      </c>
      <c r="I28" s="37">
        <v>941957</v>
      </c>
      <c r="J28" s="37"/>
      <c r="K28" s="37"/>
      <c r="L28" s="37"/>
      <c r="M28" s="37"/>
      <c r="N28" s="37"/>
      <c r="O28" s="37">
        <v>522021</v>
      </c>
      <c r="P28" s="37">
        <v>400763</v>
      </c>
      <c r="Q28" s="4">
        <v>656210</v>
      </c>
      <c r="R28" s="37">
        <v>941957</v>
      </c>
      <c r="S28" s="37"/>
      <c r="T28" s="37"/>
      <c r="U28" s="37"/>
      <c r="W28" s="37"/>
      <c r="AD28" s="1539"/>
    </row>
    <row r="29" spans="2:30" hidden="1" outlineLevel="1">
      <c r="B29" s="55" t="s">
        <v>1170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R29" s="37"/>
      <c r="S29" s="37"/>
      <c r="T29" s="37"/>
      <c r="U29" s="37">
        <v>8404</v>
      </c>
      <c r="V29" s="4">
        <v>7134</v>
      </c>
      <c r="W29" s="37">
        <v>2001</v>
      </c>
      <c r="X29" s="37">
        <v>3717</v>
      </c>
      <c r="Y29" s="37">
        <v>0</v>
      </c>
      <c r="Z29" s="37"/>
      <c r="AD29" s="1539"/>
    </row>
    <row r="30" spans="2:30" hidden="1" outlineLevel="1">
      <c r="B30" s="55" t="s">
        <v>1207</v>
      </c>
      <c r="C30" s="37">
        <v>261537</v>
      </c>
      <c r="D30" s="37">
        <v>215308</v>
      </c>
      <c r="E30" s="37">
        <v>405699</v>
      </c>
      <c r="F30" s="37">
        <v>488996</v>
      </c>
      <c r="G30" s="37">
        <v>500897</v>
      </c>
      <c r="H30" s="37">
        <v>553697</v>
      </c>
      <c r="I30" s="37">
        <v>169339</v>
      </c>
      <c r="J30" s="37">
        <v>317672</v>
      </c>
      <c r="K30" s="37">
        <v>324886</v>
      </c>
      <c r="L30" s="37">
        <v>289748</v>
      </c>
      <c r="M30" s="37">
        <v>17789913</v>
      </c>
      <c r="N30" s="37"/>
      <c r="O30" s="37">
        <v>488996</v>
      </c>
      <c r="P30" s="37">
        <v>500897</v>
      </c>
      <c r="Q30" s="4">
        <v>553697</v>
      </c>
      <c r="R30" s="37">
        <v>169339</v>
      </c>
      <c r="S30" s="37">
        <v>317672</v>
      </c>
      <c r="T30" s="37">
        <v>324886</v>
      </c>
      <c r="U30" s="37">
        <v>289748</v>
      </c>
      <c r="V30" s="4">
        <v>17789913</v>
      </c>
      <c r="W30" s="37">
        <v>1162698</v>
      </c>
      <c r="X30" s="37">
        <v>1352086</v>
      </c>
      <c r="Y30" s="37">
        <v>16695642</v>
      </c>
      <c r="Z30" s="37">
        <v>710881</v>
      </c>
      <c r="AD30" s="1539"/>
    </row>
    <row r="31" spans="2:30" hidden="1" outlineLevel="1">
      <c r="B31" s="55" t="s">
        <v>1208</v>
      </c>
      <c r="C31" s="37">
        <v>1223597</v>
      </c>
      <c r="D31" s="37">
        <v>1153657</v>
      </c>
      <c r="E31" s="37"/>
      <c r="F31" s="37">
        <v>467769</v>
      </c>
      <c r="G31" s="37">
        <v>754393</v>
      </c>
      <c r="H31" s="37">
        <v>1130420</v>
      </c>
      <c r="I31" s="37">
        <v>0</v>
      </c>
      <c r="J31" s="37">
        <v>661791</v>
      </c>
      <c r="K31" s="37">
        <v>182270</v>
      </c>
      <c r="L31" s="37">
        <v>438559</v>
      </c>
      <c r="M31" s="37">
        <v>1095656</v>
      </c>
      <c r="N31" s="37"/>
      <c r="O31" s="37">
        <v>467769</v>
      </c>
      <c r="P31" s="37">
        <v>754393</v>
      </c>
      <c r="Q31" s="4">
        <v>1130420</v>
      </c>
      <c r="R31" s="37">
        <v>0</v>
      </c>
      <c r="S31" s="37">
        <v>661791</v>
      </c>
      <c r="T31" s="37">
        <v>182270</v>
      </c>
      <c r="U31" s="37">
        <v>438559</v>
      </c>
      <c r="V31" s="4">
        <v>1095656</v>
      </c>
      <c r="W31" s="37">
        <v>100037</v>
      </c>
      <c r="X31" s="37">
        <v>727287</v>
      </c>
      <c r="Y31" s="37">
        <v>2100896</v>
      </c>
      <c r="Z31" s="37">
        <v>349856</v>
      </c>
      <c r="AD31" s="1539"/>
    </row>
    <row r="32" spans="2:30" hidden="1" outlineLevel="1">
      <c r="B32" s="55" t="s">
        <v>49</v>
      </c>
      <c r="C32" s="37">
        <v>5607384</v>
      </c>
      <c r="D32" s="37">
        <v>18337417</v>
      </c>
      <c r="E32" s="37">
        <v>10533662</v>
      </c>
      <c r="F32" s="37">
        <v>26747754</v>
      </c>
      <c r="G32" s="37">
        <v>16912143</v>
      </c>
      <c r="H32" s="37">
        <v>8901298</v>
      </c>
      <c r="I32" s="37">
        <v>21149496</v>
      </c>
      <c r="J32" s="37">
        <v>44699581</v>
      </c>
      <c r="K32" s="37">
        <v>129369722</v>
      </c>
      <c r="L32" s="37">
        <v>73398608</v>
      </c>
      <c r="M32" s="37">
        <v>93822035</v>
      </c>
      <c r="N32" s="37"/>
      <c r="O32" s="37">
        <v>26747754</v>
      </c>
      <c r="P32" s="37">
        <v>16912143</v>
      </c>
      <c r="Q32" s="4">
        <v>8901298</v>
      </c>
      <c r="R32" s="37">
        <v>21149496</v>
      </c>
      <c r="S32" s="37">
        <v>44699581</v>
      </c>
      <c r="T32" s="37">
        <v>129369722</v>
      </c>
      <c r="U32" s="37">
        <v>73398608</v>
      </c>
      <c r="V32" s="4">
        <v>93822035</v>
      </c>
      <c r="W32" s="37">
        <v>314912124</v>
      </c>
      <c r="X32" s="37">
        <v>299454165</v>
      </c>
      <c r="Y32" s="37">
        <v>221285893</v>
      </c>
      <c r="Z32" s="37">
        <v>113232665</v>
      </c>
      <c r="AD32" s="1539"/>
    </row>
    <row r="33" spans="2:30" s="46" customFormat="1" collapsed="1">
      <c r="B33" s="54" t="s">
        <v>4</v>
      </c>
      <c r="C33" s="59">
        <f t="shared" ref="C33:L33" si="3">SUM(C24:C32)</f>
        <v>164797223</v>
      </c>
      <c r="D33" s="59">
        <f t="shared" si="3"/>
        <v>184043997</v>
      </c>
      <c r="E33" s="59">
        <f t="shared" si="3"/>
        <v>186808849.50900072</v>
      </c>
      <c r="F33" s="59">
        <f t="shared" si="3"/>
        <v>222900089.01875749</v>
      </c>
      <c r="G33" s="59">
        <f t="shared" si="3"/>
        <v>232431980</v>
      </c>
      <c r="H33" s="59">
        <f t="shared" si="3"/>
        <v>253342791</v>
      </c>
      <c r="I33" s="59">
        <f t="shared" si="3"/>
        <v>258945245</v>
      </c>
      <c r="J33" s="59">
        <f t="shared" si="3"/>
        <v>269294008</v>
      </c>
      <c r="K33" s="59">
        <f t="shared" si="3"/>
        <v>350890253</v>
      </c>
      <c r="L33" s="59">
        <f t="shared" si="3"/>
        <v>321124792</v>
      </c>
      <c r="M33" s="59">
        <f>SUM(M24:M32)</f>
        <v>346157245</v>
      </c>
      <c r="N33" s="59"/>
      <c r="O33" s="59">
        <f t="shared" ref="O33:U33" si="4">SUM(O24:O32)</f>
        <v>222692911.2285175</v>
      </c>
      <c r="P33" s="59">
        <f t="shared" si="4"/>
        <v>230910137</v>
      </c>
      <c r="Q33" s="59">
        <f t="shared" si="4"/>
        <v>251342816</v>
      </c>
      <c r="R33" s="59">
        <f t="shared" si="4"/>
        <v>256186752</v>
      </c>
      <c r="S33" s="59">
        <f t="shared" si="4"/>
        <v>266931047</v>
      </c>
      <c r="T33" s="59">
        <f t="shared" si="4"/>
        <v>348178491</v>
      </c>
      <c r="U33" s="59">
        <f t="shared" si="4"/>
        <v>320098125</v>
      </c>
      <c r="V33" s="59">
        <f>SUM(V24:V32)</f>
        <v>344747227</v>
      </c>
      <c r="W33" s="59">
        <f>SUM(W24:W32)</f>
        <v>568621840</v>
      </c>
      <c r="X33" s="59">
        <f>SUM(X24:X32)</f>
        <v>570882538</v>
      </c>
      <c r="Y33" s="59">
        <f>SUM(Y24:Y32)</f>
        <v>544425405</v>
      </c>
      <c r="Z33" s="59">
        <f>SUM(Z24:Z32)</f>
        <v>428694726</v>
      </c>
      <c r="AA33" s="4"/>
      <c r="AC33" s="4"/>
      <c r="AD33" s="1540"/>
    </row>
    <row r="34" spans="2:30" ht="13.5" thickBot="1">
      <c r="B34" s="60" t="s">
        <v>5</v>
      </c>
      <c r="C34" s="61">
        <f t="shared" ref="C34:L34" si="5">C33+C22</f>
        <v>471250355</v>
      </c>
      <c r="D34" s="61">
        <f t="shared" si="5"/>
        <v>520830020</v>
      </c>
      <c r="E34" s="61">
        <f t="shared" si="5"/>
        <v>526043220.50900072</v>
      </c>
      <c r="F34" s="61">
        <f t="shared" si="5"/>
        <v>605732703.50204003</v>
      </c>
      <c r="G34" s="61">
        <f t="shared" si="5"/>
        <v>614816855</v>
      </c>
      <c r="H34" s="61">
        <f t="shared" si="5"/>
        <v>646162936.79870236</v>
      </c>
      <c r="I34" s="61">
        <f t="shared" si="5"/>
        <v>641743650</v>
      </c>
      <c r="J34" s="61">
        <f t="shared" si="5"/>
        <v>648485536</v>
      </c>
      <c r="K34" s="61">
        <f t="shared" si="5"/>
        <v>731599118</v>
      </c>
      <c r="L34" s="61">
        <f t="shared" si="5"/>
        <v>824618250</v>
      </c>
      <c r="M34" s="61">
        <f>M33+M22</f>
        <v>837252522</v>
      </c>
      <c r="N34" s="34"/>
      <c r="O34" s="61">
        <f t="shared" ref="O34:U34" si="6">O33+O22</f>
        <v>883215571.12349999</v>
      </c>
      <c r="P34" s="61">
        <f t="shared" si="6"/>
        <v>923325427</v>
      </c>
      <c r="Q34" s="61">
        <f t="shared" si="6"/>
        <v>948689322.79870236</v>
      </c>
      <c r="R34" s="61">
        <f t="shared" si="6"/>
        <v>935272300</v>
      </c>
      <c r="S34" s="61">
        <f t="shared" si="6"/>
        <v>945392206</v>
      </c>
      <c r="T34" s="61">
        <f t="shared" si="6"/>
        <v>1032945332</v>
      </c>
      <c r="U34" s="61">
        <f t="shared" si="6"/>
        <v>1209760255</v>
      </c>
      <c r="V34" s="61">
        <f>V33+V22</f>
        <v>1207532350</v>
      </c>
      <c r="W34" s="61">
        <f>W33+W22</f>
        <v>1395998440</v>
      </c>
      <c r="X34" s="61">
        <f>X33+X22</f>
        <v>1400140169</v>
      </c>
      <c r="Y34" s="61">
        <f>Y33+Y22</f>
        <v>1429543267</v>
      </c>
      <c r="Z34" s="61">
        <f>Z33+Z22</f>
        <v>1398211355</v>
      </c>
      <c r="AD34" s="1540"/>
    </row>
    <row r="35" spans="2:30" ht="13.5" thickTop="1">
      <c r="B35" s="9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R35" s="37"/>
      <c r="S35" s="37"/>
      <c r="T35" s="37"/>
      <c r="U35" s="37"/>
      <c r="W35" s="37"/>
      <c r="X35" s="37"/>
      <c r="Y35" s="37"/>
      <c r="Z35" s="37"/>
      <c r="AD35" s="1540"/>
    </row>
    <row r="36" spans="2:30">
      <c r="B36" s="52" t="s">
        <v>7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R36" s="37"/>
      <c r="S36" s="37"/>
      <c r="T36" s="37"/>
      <c r="U36" s="37"/>
      <c r="W36" s="37"/>
      <c r="X36" s="37"/>
      <c r="Y36" s="37"/>
      <c r="Z36" s="37"/>
      <c r="AD36" s="1540"/>
    </row>
    <row r="37" spans="2:30" hidden="1" outlineLevel="1">
      <c r="B37" s="54" t="s">
        <v>1235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R37" s="37"/>
      <c r="S37" s="37"/>
      <c r="T37" s="37"/>
      <c r="U37" s="37"/>
      <c r="W37" s="37"/>
      <c r="X37" s="37"/>
      <c r="Y37" s="37"/>
      <c r="Z37" s="37"/>
      <c r="AD37" s="1540"/>
    </row>
    <row r="38" spans="2:30" hidden="1" outlineLevel="1">
      <c r="B38" s="47" t="s">
        <v>8</v>
      </c>
      <c r="C38" s="37">
        <v>946</v>
      </c>
      <c r="D38" s="37">
        <v>1020</v>
      </c>
      <c r="E38" s="37">
        <v>1020</v>
      </c>
      <c r="F38" s="37">
        <v>1020</v>
      </c>
      <c r="G38" s="37">
        <v>1020</v>
      </c>
      <c r="H38" s="37">
        <v>1020</v>
      </c>
      <c r="I38" s="37">
        <v>1020</v>
      </c>
      <c r="J38" s="37">
        <v>1020</v>
      </c>
      <c r="K38" s="37">
        <v>1020</v>
      </c>
      <c r="L38" s="37">
        <v>1020</v>
      </c>
      <c r="M38" s="37">
        <v>1020</v>
      </c>
      <c r="N38" s="37"/>
      <c r="O38" s="37">
        <v>1020</v>
      </c>
      <c r="P38" s="37">
        <v>1020</v>
      </c>
      <c r="Q38" s="4">
        <v>1020</v>
      </c>
      <c r="R38" s="37">
        <v>1020</v>
      </c>
      <c r="S38" s="37">
        <v>1020</v>
      </c>
      <c r="T38" s="37">
        <v>1020</v>
      </c>
      <c r="U38" s="37">
        <v>1020</v>
      </c>
      <c r="V38" s="4">
        <v>1020</v>
      </c>
      <c r="W38" s="37">
        <v>1020</v>
      </c>
      <c r="X38" s="37">
        <v>1020</v>
      </c>
      <c r="Y38" s="37">
        <v>1020</v>
      </c>
      <c r="Z38" s="37">
        <v>1020</v>
      </c>
      <c r="AD38" s="1539"/>
    </row>
    <row r="39" spans="2:30" hidden="1" outlineLevel="1">
      <c r="B39" s="47" t="s">
        <v>9</v>
      </c>
      <c r="C39" s="37">
        <v>42647372</v>
      </c>
      <c r="D39" s="37">
        <v>87635960</v>
      </c>
      <c r="E39" s="37">
        <v>87635960</v>
      </c>
      <c r="F39" s="37">
        <v>87257340</v>
      </c>
      <c r="G39" s="37">
        <v>87379413</v>
      </c>
      <c r="H39" s="37">
        <v>87379413</v>
      </c>
      <c r="I39" s="37">
        <v>87390921</v>
      </c>
      <c r="J39" s="37">
        <v>87390921</v>
      </c>
      <c r="K39" s="37">
        <v>87437479</v>
      </c>
      <c r="L39" s="37">
        <v>87326641</v>
      </c>
      <c r="M39" s="37">
        <v>87230416</v>
      </c>
      <c r="N39" s="37"/>
      <c r="O39" s="37">
        <v>87257340</v>
      </c>
      <c r="P39" s="37">
        <v>87379413</v>
      </c>
      <c r="Q39" s="4">
        <v>87379413</v>
      </c>
      <c r="R39" s="37">
        <v>87390921</v>
      </c>
      <c r="S39" s="37">
        <v>87390921</v>
      </c>
      <c r="T39" s="37">
        <v>87437479</v>
      </c>
      <c r="U39" s="37">
        <v>87326641</v>
      </c>
      <c r="V39" s="4">
        <v>87230416</v>
      </c>
      <c r="W39" s="37">
        <v>87230416</v>
      </c>
      <c r="X39" s="37">
        <v>87230416</v>
      </c>
      <c r="Y39" s="37">
        <v>87230416</v>
      </c>
      <c r="Z39" s="37">
        <v>87230416</v>
      </c>
      <c r="AD39" s="1539"/>
    </row>
    <row r="40" spans="2:30" hidden="1" outlineLevel="1">
      <c r="B40" s="47" t="s">
        <v>57</v>
      </c>
      <c r="C40" s="37"/>
      <c r="D40" s="37"/>
      <c r="E40" s="37"/>
      <c r="F40" s="37">
        <v>-12051463</v>
      </c>
      <c r="G40" s="37">
        <v>-16454110</v>
      </c>
      <c r="H40" s="37">
        <v>-16454110</v>
      </c>
      <c r="I40" s="37">
        <v>-16021596</v>
      </c>
      <c r="J40" s="37">
        <v>-16021596</v>
      </c>
      <c r="K40" s="37">
        <v>-15028071</v>
      </c>
      <c r="L40" s="37">
        <v>-15028071</v>
      </c>
      <c r="M40" s="37">
        <v>-14403941</v>
      </c>
      <c r="N40" s="37"/>
      <c r="O40" s="37">
        <v>-12051463</v>
      </c>
      <c r="P40" s="37">
        <v>-16454110</v>
      </c>
      <c r="Q40" s="4">
        <v>-16454110</v>
      </c>
      <c r="R40" s="37">
        <v>-16021596</v>
      </c>
      <c r="S40" s="37">
        <v>-16021596</v>
      </c>
      <c r="T40" s="37">
        <v>-15028071</v>
      </c>
      <c r="U40" s="37">
        <v>-15028071</v>
      </c>
      <c r="V40" s="4">
        <v>-14403941</v>
      </c>
      <c r="W40" s="37">
        <v>-14403941</v>
      </c>
      <c r="X40" s="37">
        <v>-14403941</v>
      </c>
      <c r="Y40" s="37">
        <v>-93274746</v>
      </c>
      <c r="Z40" s="37">
        <v>-93326777</v>
      </c>
      <c r="AD40" s="1539"/>
    </row>
    <row r="41" spans="2:30" hidden="1" outlineLevel="1">
      <c r="B41" s="47" t="s">
        <v>1150</v>
      </c>
      <c r="C41" s="37"/>
      <c r="D41" s="37"/>
      <c r="E41" s="37"/>
      <c r="F41" s="37"/>
      <c r="G41" s="37">
        <v>562721</v>
      </c>
      <c r="H41" s="37">
        <v>1623268</v>
      </c>
      <c r="I41" s="37">
        <v>1597216</v>
      </c>
      <c r="J41" s="37">
        <v>2055322</v>
      </c>
      <c r="K41" s="37">
        <v>1647813</v>
      </c>
      <c r="L41" s="37">
        <v>1877419</v>
      </c>
      <c r="M41" s="37">
        <v>1399198</v>
      </c>
      <c r="N41" s="37"/>
      <c r="O41" s="37"/>
      <c r="P41" s="37">
        <v>562721</v>
      </c>
      <c r="Q41" s="4">
        <v>1623268</v>
      </c>
      <c r="R41" s="37">
        <v>1597216</v>
      </c>
      <c r="S41" s="37">
        <v>2055322</v>
      </c>
      <c r="T41" s="37">
        <v>1647813</v>
      </c>
      <c r="U41" s="37">
        <v>1877419</v>
      </c>
      <c r="V41" s="4">
        <v>1399198</v>
      </c>
      <c r="W41" s="37">
        <v>1807119</v>
      </c>
      <c r="X41" s="37">
        <v>1044880</v>
      </c>
      <c r="Y41" s="37">
        <v>1269344</v>
      </c>
      <c r="Z41" s="37">
        <v>1523529</v>
      </c>
      <c r="AD41" s="1539"/>
    </row>
    <row r="42" spans="2:30" hidden="1" outlineLevel="1">
      <c r="B42" s="47" t="s">
        <v>1209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>
        <v>19146</v>
      </c>
      <c r="N42" s="37"/>
      <c r="O42" s="37"/>
      <c r="P42" s="37"/>
      <c r="R42" s="37"/>
      <c r="S42" s="37"/>
      <c r="T42" s="37"/>
      <c r="U42" s="37"/>
      <c r="V42" s="4">
        <v>19146</v>
      </c>
      <c r="W42" s="37">
        <v>47390</v>
      </c>
      <c r="X42" s="37">
        <v>52883</v>
      </c>
      <c r="Y42" s="37">
        <v>79245</v>
      </c>
      <c r="Z42" s="37">
        <v>218461</v>
      </c>
      <c r="AD42" s="1539"/>
    </row>
    <row r="43" spans="2:30" hidden="1" outlineLevel="1">
      <c r="B43" s="47" t="s">
        <v>10</v>
      </c>
      <c r="C43" s="37">
        <v>167802716</v>
      </c>
      <c r="D43" s="37">
        <v>167274277</v>
      </c>
      <c r="E43" s="37">
        <v>171148308.60720056</v>
      </c>
      <c r="F43" s="37">
        <v>173402247.43219188</v>
      </c>
      <c r="G43" s="37">
        <v>171509952</v>
      </c>
      <c r="H43" s="37">
        <v>159694540</v>
      </c>
      <c r="I43" s="37">
        <v>161318536</v>
      </c>
      <c r="J43" s="37">
        <v>157962753</v>
      </c>
      <c r="K43" s="37">
        <v>156888019</v>
      </c>
      <c r="L43" s="37">
        <v>156908145</v>
      </c>
      <c r="M43" s="37">
        <v>188890734</v>
      </c>
      <c r="N43" s="37"/>
      <c r="O43" s="37">
        <v>137235129.43219188</v>
      </c>
      <c r="P43" s="37">
        <v>129552044</v>
      </c>
      <c r="Q43" s="4">
        <v>115983222</v>
      </c>
      <c r="R43" s="37">
        <f>114334304+728562</f>
        <v>115062866</v>
      </c>
      <c r="S43" s="37">
        <v>109463257</v>
      </c>
      <c r="T43" s="37">
        <v>107740209</v>
      </c>
      <c r="U43" s="37">
        <v>104820462</v>
      </c>
      <c r="V43" s="4">
        <v>134110359</v>
      </c>
      <c r="W43" s="37">
        <v>132700300</v>
      </c>
      <c r="X43" s="37">
        <v>166472145</v>
      </c>
      <c r="Y43" s="37">
        <v>163162053</v>
      </c>
      <c r="Z43" s="37">
        <v>151307969</v>
      </c>
      <c r="AD43" s="1539"/>
    </row>
    <row r="44" spans="2:30" s="46" customFormat="1" collapsed="1">
      <c r="B44" s="57" t="s">
        <v>1236</v>
      </c>
      <c r="C44" s="58">
        <f t="shared" ref="C44:H44" si="7">SUM(C38:C43)</f>
        <v>210451034</v>
      </c>
      <c r="D44" s="58">
        <f t="shared" si="7"/>
        <v>254911257</v>
      </c>
      <c r="E44" s="58">
        <f t="shared" si="7"/>
        <v>258785288.60720056</v>
      </c>
      <c r="F44" s="58">
        <f t="shared" si="7"/>
        <v>248609144.43219188</v>
      </c>
      <c r="G44" s="58">
        <f t="shared" si="7"/>
        <v>242998996</v>
      </c>
      <c r="H44" s="58">
        <f t="shared" si="7"/>
        <v>232244131</v>
      </c>
      <c r="I44" s="58">
        <f t="shared" ref="I44:M44" si="8">SUM(I38:I43)</f>
        <v>234286097</v>
      </c>
      <c r="J44" s="58">
        <f t="shared" si="8"/>
        <v>231388420</v>
      </c>
      <c r="K44" s="58">
        <f t="shared" si="8"/>
        <v>230946260</v>
      </c>
      <c r="L44" s="58">
        <f t="shared" si="8"/>
        <v>231085154</v>
      </c>
      <c r="M44" s="58">
        <f t="shared" si="8"/>
        <v>263136573</v>
      </c>
      <c r="N44" s="59"/>
      <c r="O44" s="58">
        <f t="shared" ref="O44:W44" si="9">SUM(O38:O43)</f>
        <v>212442026.43219188</v>
      </c>
      <c r="P44" s="58">
        <f t="shared" si="9"/>
        <v>201041088</v>
      </c>
      <c r="Q44" s="58">
        <f t="shared" si="9"/>
        <v>188532813</v>
      </c>
      <c r="R44" s="58">
        <f t="shared" si="9"/>
        <v>188030427</v>
      </c>
      <c r="S44" s="58">
        <f t="shared" si="9"/>
        <v>182888924</v>
      </c>
      <c r="T44" s="58">
        <f t="shared" si="9"/>
        <v>181798450</v>
      </c>
      <c r="U44" s="58">
        <f t="shared" si="9"/>
        <v>178997471</v>
      </c>
      <c r="V44" s="58">
        <f t="shared" si="9"/>
        <v>208356198</v>
      </c>
      <c r="W44" s="58">
        <f t="shared" si="9"/>
        <v>207382304</v>
      </c>
      <c r="X44" s="58">
        <f t="shared" ref="X44:Y44" si="10">SUM(X38:X43)</f>
        <v>240397403</v>
      </c>
      <c r="Y44" s="58">
        <f t="shared" si="10"/>
        <v>158467332</v>
      </c>
      <c r="Z44" s="58">
        <f t="shared" ref="Z44" si="11">SUM(Z38:Z43)</f>
        <v>146954618</v>
      </c>
      <c r="AA44" s="4"/>
      <c r="AC44" s="4"/>
      <c r="AD44" s="1540"/>
    </row>
    <row r="45" spans="2:30" s="46" customFormat="1" hidden="1" outlineLevel="1">
      <c r="B45" s="57" t="s">
        <v>1229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9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>
        <v>5063842</v>
      </c>
      <c r="AA45" s="4"/>
      <c r="AC45" s="4"/>
      <c r="AD45" s="1540"/>
    </row>
    <row r="46" spans="2:30" s="46" customFormat="1" collapsed="1">
      <c r="B46" s="57" t="s">
        <v>17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>
        <f>Y44</f>
        <v>158467332</v>
      </c>
      <c r="Z46" s="58">
        <f>Z45+Z44</f>
        <v>152018460</v>
      </c>
      <c r="AA46" s="4"/>
      <c r="AC46" s="4"/>
      <c r="AD46" s="1540"/>
    </row>
    <row r="47" spans="2:30" hidden="1" outlineLevel="1">
      <c r="B47" s="50" t="s">
        <v>18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R47" s="37"/>
      <c r="S47" s="37"/>
      <c r="T47" s="37"/>
      <c r="U47" s="37"/>
      <c r="W47" s="37"/>
      <c r="X47" s="37"/>
      <c r="Y47" s="37"/>
      <c r="Z47" s="37"/>
      <c r="AD47" s="1539"/>
    </row>
    <row r="48" spans="2:30" hidden="1" outlineLevel="1">
      <c r="B48" s="50" t="s">
        <v>15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R48" s="37"/>
      <c r="S48" s="37"/>
      <c r="T48" s="37"/>
      <c r="U48" s="37"/>
      <c r="W48" s="37"/>
      <c r="X48" s="37"/>
      <c r="Y48" s="37"/>
      <c r="Z48" s="37"/>
      <c r="AD48" s="1540"/>
    </row>
    <row r="49" spans="2:30" hidden="1" outlineLevel="1">
      <c r="B49" s="47" t="s">
        <v>1173</v>
      </c>
      <c r="C49" s="26">
        <v>32975875</v>
      </c>
      <c r="D49" s="26">
        <v>86338130</v>
      </c>
      <c r="E49" s="26">
        <v>67012634</v>
      </c>
      <c r="F49" s="37">
        <v>93736140</v>
      </c>
      <c r="G49" s="37">
        <v>120788823</v>
      </c>
      <c r="H49" s="37">
        <v>119632362</v>
      </c>
      <c r="I49" s="37">
        <v>117389235</v>
      </c>
      <c r="J49" s="37">
        <v>147694926</v>
      </c>
      <c r="K49" s="37">
        <v>222929802</v>
      </c>
      <c r="L49" s="37">
        <v>205286600</v>
      </c>
      <c r="M49" s="37">
        <v>116590801</v>
      </c>
      <c r="N49" s="37"/>
      <c r="O49" s="26">
        <v>93736140</v>
      </c>
      <c r="P49" s="26">
        <v>120788823</v>
      </c>
      <c r="Q49" s="4">
        <v>119632362</v>
      </c>
      <c r="R49" s="37">
        <v>117389235</v>
      </c>
      <c r="S49" s="37">
        <v>147694926</v>
      </c>
      <c r="T49" s="37">
        <v>222929802</v>
      </c>
      <c r="U49" s="37">
        <v>205286600</v>
      </c>
      <c r="V49" s="4">
        <v>116590801</v>
      </c>
      <c r="W49" s="37">
        <v>273270870</v>
      </c>
      <c r="X49" s="37">
        <v>282216431</v>
      </c>
      <c r="Y49" s="37">
        <v>280940450</v>
      </c>
      <c r="Z49" s="37">
        <v>147920844</v>
      </c>
      <c r="AD49" s="1539"/>
    </row>
    <row r="50" spans="2:30" hidden="1" outlineLevel="1">
      <c r="B50" s="47" t="s">
        <v>1087</v>
      </c>
      <c r="C50" s="26"/>
      <c r="D50" s="26"/>
      <c r="E50" s="26"/>
      <c r="F50" s="37"/>
      <c r="G50" s="37"/>
      <c r="H50" s="37"/>
      <c r="I50" s="37"/>
      <c r="J50" s="37"/>
      <c r="K50" s="37"/>
      <c r="L50" s="37"/>
      <c r="M50" s="37"/>
      <c r="N50" s="37"/>
      <c r="O50" s="26">
        <v>290581189</v>
      </c>
      <c r="P50" s="26">
        <v>315486679</v>
      </c>
      <c r="Q50" s="4">
        <v>320600953</v>
      </c>
      <c r="R50" s="37">
        <f>315005878-1515608</f>
        <v>313490270</v>
      </c>
      <c r="S50" s="37">
        <v>316141855</v>
      </c>
      <c r="T50" s="37">
        <v>319084068</v>
      </c>
      <c r="U50" s="37">
        <v>396043533</v>
      </c>
      <c r="V50" s="4">
        <v>383816920</v>
      </c>
      <c r="W50" s="37">
        <v>385528033</v>
      </c>
      <c r="X50" s="37">
        <v>397829476</v>
      </c>
      <c r="Y50" s="37">
        <v>429537893</v>
      </c>
      <c r="Z50" s="37">
        <v>458842294</v>
      </c>
      <c r="AD50" s="1539"/>
    </row>
    <row r="51" spans="2:30" hidden="1" outlineLevel="1">
      <c r="B51" s="47" t="s">
        <v>137</v>
      </c>
      <c r="C51" s="37"/>
      <c r="D51" s="37"/>
      <c r="E51" s="37"/>
      <c r="F51" s="37">
        <v>408734</v>
      </c>
      <c r="G51" s="37">
        <v>326202</v>
      </c>
      <c r="H51" s="37">
        <v>244623</v>
      </c>
      <c r="I51" s="37">
        <v>66796</v>
      </c>
      <c r="J51" s="37"/>
      <c r="K51" s="37">
        <v>154205</v>
      </c>
      <c r="L51" s="37">
        <v>57080</v>
      </c>
      <c r="M51" s="37"/>
      <c r="N51" s="37"/>
      <c r="O51" s="37">
        <v>408734</v>
      </c>
      <c r="P51" s="37">
        <v>326202</v>
      </c>
      <c r="Q51" s="4">
        <v>244623</v>
      </c>
      <c r="R51" s="37">
        <v>66796</v>
      </c>
      <c r="S51" s="37">
        <v>0</v>
      </c>
      <c r="T51" s="37">
        <v>154205</v>
      </c>
      <c r="U51" s="37">
        <v>57080</v>
      </c>
      <c r="V51" s="4">
        <v>0</v>
      </c>
      <c r="W51" s="37">
        <v>0</v>
      </c>
      <c r="X51" s="37"/>
      <c r="Y51" s="37"/>
      <c r="Z51" s="37"/>
    </row>
    <row r="52" spans="2:30" hidden="1" outlineLevel="1">
      <c r="B52" s="47" t="s">
        <v>1210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R52" s="37"/>
      <c r="S52" s="37"/>
      <c r="T52" s="37"/>
      <c r="U52" s="37"/>
      <c r="W52" s="37"/>
      <c r="X52" s="37"/>
      <c r="Y52" s="37">
        <v>1309729</v>
      </c>
      <c r="Z52" s="37">
        <v>1271832</v>
      </c>
      <c r="AD52" s="1539"/>
    </row>
    <row r="53" spans="2:30" hidden="1" outlineLevel="1">
      <c r="B53" s="47" t="s">
        <v>1211</v>
      </c>
      <c r="C53" s="37"/>
      <c r="D53" s="37">
        <v>1100568</v>
      </c>
      <c r="E53" s="37">
        <v>2167354</v>
      </c>
      <c r="F53" s="37">
        <v>2975361</v>
      </c>
      <c r="G53" s="37">
        <v>3184049</v>
      </c>
      <c r="H53" s="37">
        <v>3206076</v>
      </c>
      <c r="I53" s="37">
        <v>3018086</v>
      </c>
      <c r="J53" s="37">
        <v>2167641</v>
      </c>
      <c r="K53" s="37">
        <v>2448328</v>
      </c>
      <c r="L53" s="37">
        <v>2363865</v>
      </c>
      <c r="M53" s="37">
        <v>2334052</v>
      </c>
      <c r="N53" s="37"/>
      <c r="O53" s="37">
        <v>2975361</v>
      </c>
      <c r="P53" s="37">
        <v>3184049</v>
      </c>
      <c r="Q53" s="4">
        <v>3206076</v>
      </c>
      <c r="R53" s="37">
        <v>3018086</v>
      </c>
      <c r="S53" s="37">
        <v>2167641</v>
      </c>
      <c r="T53" s="37">
        <v>2448328</v>
      </c>
      <c r="U53" s="37">
        <v>2363865</v>
      </c>
      <c r="V53" s="4">
        <v>2334052</v>
      </c>
      <c r="W53" s="37">
        <v>2358034</v>
      </c>
      <c r="X53" s="37">
        <v>2146965</v>
      </c>
      <c r="Y53" s="37">
        <v>2143163</v>
      </c>
      <c r="Z53" s="37">
        <v>2078218</v>
      </c>
      <c r="AD53" s="1539"/>
    </row>
    <row r="54" spans="2:30" hidden="1" outlineLevel="1">
      <c r="B54" s="47" t="s">
        <v>1144</v>
      </c>
      <c r="C54" s="37"/>
      <c r="D54" s="37"/>
      <c r="E54" s="37"/>
      <c r="F54" s="37"/>
      <c r="G54" s="37"/>
      <c r="H54" s="37"/>
      <c r="I54" s="37"/>
      <c r="J54" s="37"/>
      <c r="K54" s="37">
        <v>2529467</v>
      </c>
      <c r="L54" s="37">
        <v>6371026</v>
      </c>
      <c r="M54" s="37">
        <v>4194956</v>
      </c>
      <c r="N54" s="37"/>
      <c r="O54" s="37"/>
      <c r="P54" s="37"/>
      <c r="R54" s="37"/>
      <c r="S54" s="37"/>
      <c r="T54" s="37">
        <v>2529467</v>
      </c>
      <c r="U54" s="37">
        <v>2553058</v>
      </c>
      <c r="V54" s="4">
        <v>0</v>
      </c>
      <c r="W54" s="37">
        <v>0</v>
      </c>
      <c r="X54" s="37"/>
      <c r="Y54" s="37"/>
      <c r="Z54" s="37"/>
      <c r="AD54" s="1539"/>
    </row>
    <row r="55" spans="2:30" hidden="1" outlineLevel="1">
      <c r="B55" s="47" t="s">
        <v>1212</v>
      </c>
      <c r="C55" s="37">
        <v>18417110</v>
      </c>
      <c r="D55" s="37">
        <v>20422675</v>
      </c>
      <c r="E55" s="37">
        <v>22582195.901800141</v>
      </c>
      <c r="F55" s="37">
        <v>24339094.358047999</v>
      </c>
      <c r="G55" s="37">
        <v>28168991</v>
      </c>
      <c r="H55" s="37">
        <v>27001508.439233623</v>
      </c>
      <c r="I55" s="37">
        <v>25855938</v>
      </c>
      <c r="J55" s="37">
        <v>24348755</v>
      </c>
      <c r="K55" s="37">
        <v>23498256</v>
      </c>
      <c r="L55" s="37">
        <v>22071219</v>
      </c>
      <c r="M55" s="37">
        <v>22761142</v>
      </c>
      <c r="N55" s="37"/>
      <c r="O55" s="37">
        <v>15292458</v>
      </c>
      <c r="P55" s="37">
        <v>28070087</v>
      </c>
      <c r="Q55" s="4">
        <v>16073679.032432325</v>
      </c>
      <c r="R55" s="37">
        <f>14109880+182141</f>
        <v>14292021</v>
      </c>
      <c r="S55" s="37">
        <v>12225590</v>
      </c>
      <c r="T55" s="37">
        <v>11214806</v>
      </c>
      <c r="U55" s="37">
        <v>9055398</v>
      </c>
      <c r="V55" s="4">
        <v>9377427</v>
      </c>
      <c r="W55" s="37">
        <v>4436236</v>
      </c>
      <c r="X55" s="37">
        <v>3121965</v>
      </c>
      <c r="Y55" s="37">
        <v>2112697</v>
      </c>
      <c r="Z55" s="37">
        <v>982476</v>
      </c>
      <c r="AD55" s="1539"/>
    </row>
    <row r="56" spans="2:30" s="46" customFormat="1" collapsed="1">
      <c r="B56" s="57" t="s">
        <v>11</v>
      </c>
      <c r="C56" s="58">
        <f t="shared" ref="C56:H56" si="12">SUM(C49:C55)</f>
        <v>51392985</v>
      </c>
      <c r="D56" s="58">
        <f t="shared" si="12"/>
        <v>107861373</v>
      </c>
      <c r="E56" s="58">
        <f t="shared" si="12"/>
        <v>91762183.901800141</v>
      </c>
      <c r="F56" s="58">
        <f t="shared" si="12"/>
        <v>121459329.35804799</v>
      </c>
      <c r="G56" s="58">
        <f t="shared" si="12"/>
        <v>152468065</v>
      </c>
      <c r="H56" s="58">
        <f t="shared" si="12"/>
        <v>150084569.43923363</v>
      </c>
      <c r="I56" s="58">
        <f t="shared" ref="I56:M56" si="13">SUM(I49:I55)</f>
        <v>146330055</v>
      </c>
      <c r="J56" s="58">
        <f t="shared" si="13"/>
        <v>174211322</v>
      </c>
      <c r="K56" s="58">
        <f t="shared" si="13"/>
        <v>251560058</v>
      </c>
      <c r="L56" s="58">
        <f t="shared" si="13"/>
        <v>236149790</v>
      </c>
      <c r="M56" s="58">
        <f t="shared" si="13"/>
        <v>145880951</v>
      </c>
      <c r="N56" s="59"/>
      <c r="O56" s="58">
        <f t="shared" ref="O56:W56" si="14">SUM(O49:O55)</f>
        <v>402993882</v>
      </c>
      <c r="P56" s="58">
        <f t="shared" si="14"/>
        <v>467855840</v>
      </c>
      <c r="Q56" s="58">
        <f t="shared" si="14"/>
        <v>459757693.03243232</v>
      </c>
      <c r="R56" s="58">
        <f t="shared" si="14"/>
        <v>448256408</v>
      </c>
      <c r="S56" s="58">
        <f t="shared" si="14"/>
        <v>478230012</v>
      </c>
      <c r="T56" s="58">
        <f t="shared" si="14"/>
        <v>558360676</v>
      </c>
      <c r="U56" s="58">
        <f t="shared" si="14"/>
        <v>615359534</v>
      </c>
      <c r="V56" s="58">
        <f t="shared" si="14"/>
        <v>512119200</v>
      </c>
      <c r="W56" s="58">
        <f t="shared" si="14"/>
        <v>665593173</v>
      </c>
      <c r="X56" s="58">
        <f t="shared" ref="X56:Y56" si="15">SUM(X49:X55)</f>
        <v>685314837</v>
      </c>
      <c r="Y56" s="58">
        <f t="shared" si="15"/>
        <v>716043932</v>
      </c>
      <c r="Z56" s="58">
        <f t="shared" ref="Z56" si="16">SUM(Z49:Z55)</f>
        <v>611095664</v>
      </c>
      <c r="AA56" s="4"/>
      <c r="AC56" s="4"/>
      <c r="AD56" s="1539"/>
    </row>
    <row r="57" spans="2:30" hidden="1" outlineLevel="1">
      <c r="B57" s="50" t="s">
        <v>16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R57" s="37"/>
      <c r="S57" s="37"/>
      <c r="T57" s="37"/>
      <c r="U57" s="37"/>
      <c r="W57" s="37"/>
      <c r="X57" s="37"/>
      <c r="Y57" s="37"/>
      <c r="Z57" s="37"/>
      <c r="AD57" s="1540"/>
    </row>
    <row r="58" spans="2:30" hidden="1" outlineLevel="1">
      <c r="B58" s="47" t="s">
        <v>44</v>
      </c>
      <c r="C58" s="37">
        <v>77348721</v>
      </c>
      <c r="D58" s="37">
        <v>99142151</v>
      </c>
      <c r="E58" s="37">
        <v>91801888</v>
      </c>
      <c r="F58" s="26">
        <v>131145809.23455</v>
      </c>
      <c r="G58" s="37">
        <v>118878723</v>
      </c>
      <c r="H58" s="37">
        <v>161675631</v>
      </c>
      <c r="I58" s="37">
        <v>117653742</v>
      </c>
      <c r="J58" s="37">
        <f>161116919+23252598</f>
        <v>184369517</v>
      </c>
      <c r="K58" s="37">
        <f>166017179-K54</f>
        <v>163487712</v>
      </c>
      <c r="L58" s="37">
        <v>243634556</v>
      </c>
      <c r="M58" s="37">
        <v>213904207</v>
      </c>
      <c r="N58" s="37"/>
      <c r="O58" s="37">
        <v>131101185</v>
      </c>
      <c r="P58" s="37">
        <v>118834098</v>
      </c>
      <c r="Q58" s="4">
        <v>161631006</v>
      </c>
      <c r="R58" s="37">
        <v>117609119</v>
      </c>
      <c r="S58" s="37">
        <f>161072294+23252598</f>
        <v>184324892</v>
      </c>
      <c r="T58" s="37">
        <v>163443086</v>
      </c>
      <c r="U58" s="37">
        <v>241134803</v>
      </c>
      <c r="V58" s="4">
        <v>212251098</v>
      </c>
      <c r="W58" s="37">
        <v>273971842</v>
      </c>
      <c r="X58" s="37">
        <v>232543213</v>
      </c>
      <c r="Y58" s="37">
        <v>300292380</v>
      </c>
      <c r="Z58" s="37">
        <v>290637384</v>
      </c>
      <c r="AD58" s="1539"/>
    </row>
    <row r="59" spans="2:30" hidden="1" outlineLevel="1">
      <c r="B59" s="47" t="s">
        <v>12</v>
      </c>
      <c r="C59" s="26">
        <v>10426852</v>
      </c>
      <c r="D59" s="26">
        <v>11574953</v>
      </c>
      <c r="E59" s="26">
        <v>10812224</v>
      </c>
      <c r="F59" s="26">
        <v>13084885.47725</v>
      </c>
      <c r="G59" s="26">
        <v>13077242</v>
      </c>
      <c r="H59" s="26">
        <v>17020105</v>
      </c>
      <c r="I59" s="26">
        <v>20851907</v>
      </c>
      <c r="J59" s="26"/>
      <c r="K59" s="26"/>
      <c r="L59" s="26"/>
      <c r="M59" s="26"/>
      <c r="N59" s="26"/>
      <c r="O59" s="26">
        <v>13084885</v>
      </c>
      <c r="P59" s="26">
        <v>13077242</v>
      </c>
      <c r="Q59" s="4">
        <v>17020105</v>
      </c>
      <c r="R59" s="26">
        <v>20851907</v>
      </c>
      <c r="S59" s="26"/>
      <c r="T59" s="26"/>
      <c r="U59" s="26"/>
      <c r="W59" s="26"/>
      <c r="AD59" s="1539"/>
    </row>
    <row r="60" spans="2:30" hidden="1" outlineLevel="1">
      <c r="B60" s="47" t="s">
        <v>1151</v>
      </c>
      <c r="C60" s="26">
        <v>9257956</v>
      </c>
      <c r="D60" s="26">
        <v>6283720</v>
      </c>
      <c r="E60" s="26">
        <v>8493059</v>
      </c>
      <c r="F60" s="26">
        <v>4791836</v>
      </c>
      <c r="G60" s="26">
        <v>8593134</v>
      </c>
      <c r="H60" s="26">
        <v>4291007</v>
      </c>
      <c r="I60" s="26">
        <v>12270171</v>
      </c>
      <c r="J60" s="26">
        <v>11854351</v>
      </c>
      <c r="K60" s="26">
        <v>14707870</v>
      </c>
      <c r="L60" s="26">
        <v>14461235.4</v>
      </c>
      <c r="M60" s="26">
        <v>32811837</v>
      </c>
      <c r="N60" s="26"/>
      <c r="O60" s="26">
        <v>4791836</v>
      </c>
      <c r="P60" s="26">
        <v>8593134</v>
      </c>
      <c r="Q60" s="4">
        <v>4291007</v>
      </c>
      <c r="R60" s="26">
        <v>12270171</v>
      </c>
      <c r="S60" s="26">
        <v>11854351</v>
      </c>
      <c r="T60" s="26">
        <v>14707870</v>
      </c>
      <c r="U60" s="26">
        <v>14718445</v>
      </c>
      <c r="V60" s="4">
        <v>32778096</v>
      </c>
      <c r="W60" s="26">
        <v>32304140</v>
      </c>
      <c r="X60" s="26">
        <v>37660734</v>
      </c>
      <c r="Y60" s="26">
        <v>30365965</v>
      </c>
      <c r="Z60" s="26">
        <v>26976117</v>
      </c>
      <c r="AD60" s="1539"/>
    </row>
    <row r="61" spans="2:30" hidden="1" outlineLevel="1">
      <c r="B61" s="47" t="s">
        <v>62</v>
      </c>
      <c r="C61" s="26">
        <v>319589</v>
      </c>
      <c r="D61" s="26">
        <v>831</v>
      </c>
      <c r="E61" s="26">
        <v>13809820</v>
      </c>
      <c r="F61" s="26">
        <v>13629822</v>
      </c>
      <c r="G61" s="26">
        <v>1691</v>
      </c>
      <c r="H61" s="26">
        <v>14452943</v>
      </c>
      <c r="I61" s="26">
        <v>15420064</v>
      </c>
      <c r="J61" s="26">
        <v>24094729</v>
      </c>
      <c r="K61" s="26">
        <v>24022749</v>
      </c>
      <c r="L61" s="26">
        <v>28829503</v>
      </c>
      <c r="M61" s="26"/>
      <c r="N61" s="26"/>
      <c r="O61" s="26">
        <v>13629822</v>
      </c>
      <c r="P61" s="26">
        <v>1691</v>
      </c>
      <c r="Q61" s="4">
        <v>14452943</v>
      </c>
      <c r="R61" s="26">
        <v>15420064</v>
      </c>
      <c r="S61" s="26">
        <v>24094729</v>
      </c>
      <c r="T61" s="26">
        <v>24022749</v>
      </c>
      <c r="U61" s="26">
        <v>28829503</v>
      </c>
      <c r="W61" s="26"/>
      <c r="Y61" s="4">
        <v>27971772</v>
      </c>
      <c r="Z61" s="4">
        <v>28220387</v>
      </c>
      <c r="AD61" s="1539"/>
    </row>
    <row r="62" spans="2:30" hidden="1" outlineLevel="1">
      <c r="B62" s="47" t="s">
        <v>58</v>
      </c>
      <c r="C62" s="37"/>
      <c r="D62" s="37"/>
      <c r="E62" s="37">
        <v>475317</v>
      </c>
      <c r="F62" s="26"/>
      <c r="G62" s="37"/>
      <c r="H62" s="37"/>
      <c r="I62" s="37">
        <v>740683</v>
      </c>
      <c r="J62" s="37"/>
      <c r="K62" s="37"/>
      <c r="L62" s="37"/>
      <c r="M62" s="37">
        <v>584825</v>
      </c>
      <c r="N62" s="37"/>
      <c r="O62" s="37"/>
      <c r="P62" s="37"/>
      <c r="R62" s="37">
        <v>740683</v>
      </c>
      <c r="S62" s="37"/>
      <c r="T62" s="37"/>
      <c r="U62" s="37"/>
      <c r="V62" s="4">
        <v>584825</v>
      </c>
      <c r="W62" s="37">
        <v>1921025</v>
      </c>
      <c r="X62" s="26">
        <v>638883</v>
      </c>
      <c r="Y62" s="26">
        <v>4527157</v>
      </c>
      <c r="Z62" s="26">
        <v>2574738</v>
      </c>
      <c r="AD62" s="1539"/>
    </row>
    <row r="63" spans="2:30" hidden="1" outlineLevel="1">
      <c r="B63" s="47" t="s">
        <v>138</v>
      </c>
      <c r="C63" s="26">
        <v>470608</v>
      </c>
      <c r="D63" s="26">
        <v>562691</v>
      </c>
      <c r="E63" s="26">
        <v>486144</v>
      </c>
      <c r="F63" s="26">
        <v>665285</v>
      </c>
      <c r="G63" s="26">
        <v>552823</v>
      </c>
      <c r="H63" s="26">
        <v>696526</v>
      </c>
      <c r="I63" s="26">
        <v>650223</v>
      </c>
      <c r="J63" s="26">
        <v>955732</v>
      </c>
      <c r="K63" s="26">
        <f>747957</f>
        <v>747957</v>
      </c>
      <c r="L63" s="26">
        <v>888397</v>
      </c>
      <c r="M63" s="26">
        <v>568594</v>
      </c>
      <c r="N63" s="26"/>
      <c r="O63" s="26">
        <v>665285</v>
      </c>
      <c r="P63" s="26">
        <v>552823</v>
      </c>
      <c r="Q63" s="4">
        <v>696526</v>
      </c>
      <c r="R63" s="26">
        <v>650223</v>
      </c>
      <c r="S63" s="26">
        <v>955732</v>
      </c>
      <c r="T63" s="26">
        <v>747957</v>
      </c>
      <c r="U63" s="26">
        <v>888397</v>
      </c>
      <c r="V63" s="4">
        <v>568594</v>
      </c>
      <c r="W63" s="26">
        <v>710118</v>
      </c>
      <c r="X63" s="26">
        <v>719651</v>
      </c>
      <c r="Y63" s="26">
        <v>838867</v>
      </c>
      <c r="Z63" s="26">
        <v>796391</v>
      </c>
      <c r="AD63" s="1539"/>
    </row>
    <row r="64" spans="2:30" hidden="1" outlineLevel="1">
      <c r="B64" s="47" t="s">
        <v>170</v>
      </c>
      <c r="C64" s="26"/>
      <c r="D64" s="26">
        <v>315696</v>
      </c>
      <c r="E64" s="26">
        <v>974420</v>
      </c>
      <c r="F64" s="26">
        <v>1447052</v>
      </c>
      <c r="G64" s="26">
        <v>659693</v>
      </c>
      <c r="H64" s="26">
        <v>1056711</v>
      </c>
      <c r="I64" s="26">
        <v>2269343</v>
      </c>
      <c r="J64" s="26">
        <v>2592558</v>
      </c>
      <c r="K64" s="26">
        <f>3331201</f>
        <v>3331201</v>
      </c>
      <c r="L64" s="26">
        <v>4176829</v>
      </c>
      <c r="M64" s="26">
        <v>3785325</v>
      </c>
      <c r="N64" s="26"/>
      <c r="O64" s="26">
        <v>1447052</v>
      </c>
      <c r="P64" s="26">
        <v>659693</v>
      </c>
      <c r="Q64" s="4">
        <v>1056711</v>
      </c>
      <c r="R64" s="26">
        <v>2269343</v>
      </c>
      <c r="S64" s="26">
        <v>2592558</v>
      </c>
      <c r="T64" s="26">
        <v>3331201</v>
      </c>
      <c r="U64" s="26">
        <v>4176829</v>
      </c>
      <c r="V64" s="4">
        <v>3785325</v>
      </c>
      <c r="W64" s="26">
        <v>5421418</v>
      </c>
      <c r="X64" s="37">
        <v>7290220</v>
      </c>
      <c r="Y64" s="37">
        <v>6529542</v>
      </c>
      <c r="Z64" s="37">
        <v>5194912</v>
      </c>
      <c r="AD64" s="1539"/>
    </row>
    <row r="65" spans="2:30" hidden="1" outlineLevel="1">
      <c r="B65" s="47" t="s">
        <v>59</v>
      </c>
      <c r="C65" s="37"/>
      <c r="D65" s="37"/>
      <c r="E65" s="37"/>
      <c r="F65" s="26"/>
      <c r="G65" s="37"/>
      <c r="H65" s="37"/>
      <c r="I65" s="37"/>
      <c r="J65" s="37"/>
      <c r="K65" s="37"/>
      <c r="L65" s="37"/>
      <c r="M65" s="37"/>
      <c r="N65" s="37"/>
      <c r="O65" s="37"/>
      <c r="P65" s="37"/>
      <c r="R65" s="37"/>
      <c r="S65" s="37"/>
      <c r="T65" s="37"/>
      <c r="U65" s="37"/>
      <c r="W65" s="37"/>
    </row>
    <row r="66" spans="2:30" hidden="1" outlineLevel="1">
      <c r="B66" s="47" t="s">
        <v>1213</v>
      </c>
      <c r="C66" s="37"/>
      <c r="D66" s="37">
        <v>55423</v>
      </c>
      <c r="E66" s="37">
        <v>59026</v>
      </c>
      <c r="F66" s="26">
        <v>62340</v>
      </c>
      <c r="G66" s="37">
        <v>62353</v>
      </c>
      <c r="H66" s="37">
        <v>62857</v>
      </c>
      <c r="I66" s="37">
        <v>67375</v>
      </c>
      <c r="J66" s="37">
        <v>627304</v>
      </c>
      <c r="K66" s="37">
        <v>235511</v>
      </c>
      <c r="L66" s="37">
        <v>253475</v>
      </c>
      <c r="M66" s="37">
        <v>309539</v>
      </c>
      <c r="N66" s="37"/>
      <c r="O66" s="37">
        <v>62340</v>
      </c>
      <c r="P66" s="37">
        <v>62353</v>
      </c>
      <c r="Q66" s="4">
        <v>62857</v>
      </c>
      <c r="R66" s="37">
        <v>67375</v>
      </c>
      <c r="S66" s="37">
        <v>627304</v>
      </c>
      <c r="T66" s="37">
        <v>235511</v>
      </c>
      <c r="U66" s="37">
        <v>253475</v>
      </c>
      <c r="V66" s="4">
        <v>309539</v>
      </c>
      <c r="W66" s="37">
        <v>389323</v>
      </c>
      <c r="X66" s="26">
        <v>438064</v>
      </c>
      <c r="Y66" s="26">
        <v>424716</v>
      </c>
      <c r="Z66" s="26">
        <v>396108</v>
      </c>
      <c r="AD66" s="1539"/>
    </row>
    <row r="67" spans="2:30" hidden="1" outlineLevel="1">
      <c r="B67" s="47" t="s">
        <v>170</v>
      </c>
      <c r="C67" s="37"/>
      <c r="D67" s="37"/>
      <c r="E67" s="37"/>
      <c r="F67" s="26"/>
      <c r="G67" s="37"/>
      <c r="H67" s="37"/>
      <c r="I67" s="37"/>
      <c r="J67" s="37"/>
      <c r="K67" s="37"/>
      <c r="L67" s="37"/>
      <c r="M67" s="37"/>
      <c r="N67" s="37"/>
      <c r="O67" s="37"/>
      <c r="P67" s="37"/>
      <c r="R67" s="37"/>
      <c r="S67" s="37"/>
      <c r="T67" s="37"/>
      <c r="U67" s="37"/>
      <c r="W67" s="37"/>
    </row>
    <row r="68" spans="2:30" hidden="1" outlineLevel="1">
      <c r="B68" s="47" t="s">
        <v>1174</v>
      </c>
      <c r="C68" s="37">
        <v>111582610</v>
      </c>
      <c r="D68" s="37">
        <v>40121925</v>
      </c>
      <c r="E68" s="37">
        <v>48583850</v>
      </c>
      <c r="F68" s="26">
        <v>70837201</v>
      </c>
      <c r="G68" s="37">
        <v>77524135</v>
      </c>
      <c r="H68" s="37">
        <v>64578456</v>
      </c>
      <c r="I68" s="37">
        <v>91203991</v>
      </c>
      <c r="J68" s="37">
        <v>18391601</v>
      </c>
      <c r="K68" s="37">
        <v>42559803</v>
      </c>
      <c r="L68" s="37">
        <v>65139311</v>
      </c>
      <c r="M68" s="37">
        <v>176270671</v>
      </c>
      <c r="N68" s="37"/>
      <c r="O68" s="37">
        <v>70837201</v>
      </c>
      <c r="P68" s="37">
        <v>77524135</v>
      </c>
      <c r="Q68" s="4">
        <v>64578456</v>
      </c>
      <c r="R68" s="37">
        <v>91203991</v>
      </c>
      <c r="S68" s="37">
        <v>18391601</v>
      </c>
      <c r="T68" s="37">
        <v>42559803</v>
      </c>
      <c r="U68" s="37">
        <v>65139311</v>
      </c>
      <c r="V68" s="4">
        <v>176270671</v>
      </c>
      <c r="W68" s="37">
        <v>147021644</v>
      </c>
      <c r="X68" s="26">
        <v>134059038</v>
      </c>
      <c r="Y68" s="26">
        <v>121194890</v>
      </c>
      <c r="Z68" s="26">
        <v>186349674</v>
      </c>
      <c r="AD68" s="1539"/>
    </row>
    <row r="69" spans="2:30" hidden="1" outlineLevel="1">
      <c r="B69" s="47" t="s">
        <v>1088</v>
      </c>
      <c r="C69" s="37"/>
      <c r="D69" s="37"/>
      <c r="E69" s="37"/>
      <c r="F69" s="26"/>
      <c r="G69" s="37"/>
      <c r="H69" s="37"/>
      <c r="I69" s="37"/>
      <c r="J69" s="37"/>
      <c r="K69" s="37"/>
      <c r="L69" s="37"/>
      <c r="M69" s="37"/>
      <c r="N69" s="37"/>
      <c r="O69" s="37">
        <v>32160057</v>
      </c>
      <c r="P69" s="37">
        <v>35123330</v>
      </c>
      <c r="Q69" s="4">
        <v>36609206</v>
      </c>
      <c r="R69" s="37">
        <f>38301842-399253</f>
        <v>37902589</v>
      </c>
      <c r="S69" s="37">
        <v>41432103</v>
      </c>
      <c r="T69" s="37">
        <v>43738029</v>
      </c>
      <c r="U69" s="37">
        <v>60262487</v>
      </c>
      <c r="V69" s="4">
        <v>60508804</v>
      </c>
      <c r="W69" s="37">
        <v>61283453</v>
      </c>
      <c r="X69" s="37">
        <v>61078126</v>
      </c>
      <c r="Y69" s="37">
        <v>62886714</v>
      </c>
      <c r="Z69" s="37">
        <v>64709507</v>
      </c>
      <c r="AD69" s="1539"/>
    </row>
    <row r="70" spans="2:30" hidden="1" outlineLevel="1">
      <c r="B70" s="47" t="s">
        <v>1230</v>
      </c>
      <c r="C70" s="37"/>
      <c r="D70" s="37"/>
      <c r="E70" s="37"/>
      <c r="F70" s="26"/>
      <c r="G70" s="37"/>
      <c r="H70" s="37"/>
      <c r="I70" s="37"/>
      <c r="J70" s="37"/>
      <c r="K70" s="37"/>
      <c r="L70" s="37"/>
      <c r="M70" s="37"/>
      <c r="N70" s="37"/>
      <c r="O70" s="37"/>
      <c r="P70" s="37"/>
      <c r="R70" s="37"/>
      <c r="S70" s="37"/>
      <c r="T70" s="37"/>
      <c r="U70" s="37"/>
      <c r="W70" s="37"/>
      <c r="X70" s="37"/>
      <c r="Y70" s="37"/>
      <c r="Z70" s="37">
        <v>29242013</v>
      </c>
      <c r="AD70" s="1539"/>
    </row>
    <row r="71" spans="2:30" s="46" customFormat="1" collapsed="1">
      <c r="B71" s="50" t="s">
        <v>13</v>
      </c>
      <c r="C71" s="62">
        <f t="shared" ref="C71:M71" si="17">SUM(C58:C69)</f>
        <v>209406336</v>
      </c>
      <c r="D71" s="62">
        <f t="shared" si="17"/>
        <v>158057390</v>
      </c>
      <c r="E71" s="62">
        <f t="shared" si="17"/>
        <v>175495748</v>
      </c>
      <c r="F71" s="62">
        <f t="shared" si="17"/>
        <v>235664230.71180001</v>
      </c>
      <c r="G71" s="62">
        <f t="shared" si="17"/>
        <v>219349794</v>
      </c>
      <c r="H71" s="62">
        <f t="shared" si="17"/>
        <v>263834236</v>
      </c>
      <c r="I71" s="62">
        <f t="shared" si="17"/>
        <v>261127499</v>
      </c>
      <c r="J71" s="62">
        <f t="shared" si="17"/>
        <v>242885792</v>
      </c>
      <c r="K71" s="62">
        <f t="shared" si="17"/>
        <v>249092803</v>
      </c>
      <c r="L71" s="62">
        <f t="shared" si="17"/>
        <v>357383306.39999998</v>
      </c>
      <c r="M71" s="62">
        <f t="shared" si="17"/>
        <v>428234998</v>
      </c>
      <c r="N71" s="51"/>
      <c r="O71" s="62">
        <f t="shared" ref="O71:W71" si="18">SUM(O58:O69)</f>
        <v>267779663</v>
      </c>
      <c r="P71" s="62">
        <f t="shared" si="18"/>
        <v>254428499</v>
      </c>
      <c r="Q71" s="62">
        <f t="shared" si="18"/>
        <v>300398817</v>
      </c>
      <c r="R71" s="62">
        <f t="shared" si="18"/>
        <v>298985465</v>
      </c>
      <c r="S71" s="62">
        <f t="shared" si="18"/>
        <v>284273270</v>
      </c>
      <c r="T71" s="62">
        <f t="shared" si="18"/>
        <v>292786206</v>
      </c>
      <c r="U71" s="62">
        <f t="shared" si="18"/>
        <v>415403250</v>
      </c>
      <c r="V71" s="62">
        <f t="shared" si="18"/>
        <v>487056952</v>
      </c>
      <c r="W71" s="62">
        <f t="shared" si="18"/>
        <v>523022963</v>
      </c>
      <c r="X71" s="62">
        <f>SUM(X58:X69)</f>
        <v>474427929</v>
      </c>
      <c r="Y71" s="62">
        <f>SUM(Y58:Y69)</f>
        <v>555032003</v>
      </c>
      <c r="Z71" s="62">
        <f>SUM(Z58:Z70)</f>
        <v>635097231</v>
      </c>
      <c r="AA71" s="4"/>
      <c r="AC71" s="4"/>
    </row>
    <row r="72" spans="2:30" s="43" customFormat="1">
      <c r="B72" s="63" t="s">
        <v>14</v>
      </c>
      <c r="C72" s="51">
        <f t="shared" ref="C72:M72" si="19">C71+C56</f>
        <v>260799321</v>
      </c>
      <c r="D72" s="51">
        <f t="shared" si="19"/>
        <v>265918763</v>
      </c>
      <c r="E72" s="51">
        <f t="shared" si="19"/>
        <v>267257931.90180016</v>
      </c>
      <c r="F72" s="51">
        <f t="shared" si="19"/>
        <v>357123560.069848</v>
      </c>
      <c r="G72" s="51">
        <f t="shared" si="19"/>
        <v>371817859</v>
      </c>
      <c r="H72" s="51">
        <f t="shared" si="19"/>
        <v>413918805.43923366</v>
      </c>
      <c r="I72" s="51">
        <f t="shared" si="19"/>
        <v>407457554</v>
      </c>
      <c r="J72" s="51">
        <f t="shared" si="19"/>
        <v>417097114</v>
      </c>
      <c r="K72" s="51">
        <f t="shared" si="19"/>
        <v>500652861</v>
      </c>
      <c r="L72" s="51">
        <f t="shared" si="19"/>
        <v>593533096.39999998</v>
      </c>
      <c r="M72" s="51">
        <f t="shared" si="19"/>
        <v>574115949</v>
      </c>
      <c r="N72" s="51"/>
      <c r="O72" s="51">
        <f t="shared" ref="O72:W72" si="20">O71+O56</f>
        <v>670773545</v>
      </c>
      <c r="P72" s="51">
        <f t="shared" si="20"/>
        <v>722284339</v>
      </c>
      <c r="Q72" s="51">
        <f t="shared" si="20"/>
        <v>760156510.03243232</v>
      </c>
      <c r="R72" s="51">
        <f t="shared" si="20"/>
        <v>747241873</v>
      </c>
      <c r="S72" s="51">
        <f t="shared" si="20"/>
        <v>762503282</v>
      </c>
      <c r="T72" s="51">
        <f t="shared" si="20"/>
        <v>851146882</v>
      </c>
      <c r="U72" s="51">
        <f t="shared" si="20"/>
        <v>1030762784</v>
      </c>
      <c r="V72" s="51">
        <f t="shared" si="20"/>
        <v>999176152</v>
      </c>
      <c r="W72" s="51">
        <f t="shared" si="20"/>
        <v>1188616136</v>
      </c>
      <c r="X72" s="51">
        <f t="shared" ref="X72:Y72" si="21">X71+X56</f>
        <v>1159742766</v>
      </c>
      <c r="Y72" s="51">
        <f t="shared" si="21"/>
        <v>1271075935</v>
      </c>
      <c r="Z72" s="51">
        <f t="shared" ref="Z72" si="22">Z71+Z56</f>
        <v>1246192895</v>
      </c>
      <c r="AA72" s="4"/>
      <c r="AC72" s="4"/>
      <c r="AD72" s="1540"/>
    </row>
    <row r="73" spans="2:30" s="43" customFormat="1" ht="13.5" thickBot="1">
      <c r="B73" s="64" t="s">
        <v>1214</v>
      </c>
      <c r="C73" s="64">
        <f t="shared" ref="C73:M73" si="23">C72+C44</f>
        <v>471250355</v>
      </c>
      <c r="D73" s="64">
        <f t="shared" si="23"/>
        <v>520830020</v>
      </c>
      <c r="E73" s="64">
        <f t="shared" si="23"/>
        <v>526043220.50900072</v>
      </c>
      <c r="F73" s="64">
        <f t="shared" si="23"/>
        <v>605732704.50203991</v>
      </c>
      <c r="G73" s="64">
        <f t="shared" si="23"/>
        <v>614816855</v>
      </c>
      <c r="H73" s="64">
        <f t="shared" si="23"/>
        <v>646162936.43923366</v>
      </c>
      <c r="I73" s="64">
        <f t="shared" si="23"/>
        <v>641743651</v>
      </c>
      <c r="J73" s="64">
        <f t="shared" si="23"/>
        <v>648485534</v>
      </c>
      <c r="K73" s="64">
        <f t="shared" si="23"/>
        <v>731599121</v>
      </c>
      <c r="L73" s="64">
        <f t="shared" si="23"/>
        <v>824618250.39999998</v>
      </c>
      <c r="M73" s="64">
        <f t="shared" si="23"/>
        <v>837252522</v>
      </c>
      <c r="N73" s="52"/>
      <c r="O73" s="64">
        <f t="shared" ref="O73:Y73" si="24">O72+O44</f>
        <v>883215571.43219185</v>
      </c>
      <c r="P73" s="64">
        <f t="shared" si="24"/>
        <v>923325427</v>
      </c>
      <c r="Q73" s="64">
        <f t="shared" si="24"/>
        <v>948689323.03243232</v>
      </c>
      <c r="R73" s="64">
        <f t="shared" si="24"/>
        <v>935272300</v>
      </c>
      <c r="S73" s="64">
        <f t="shared" si="24"/>
        <v>945392206</v>
      </c>
      <c r="T73" s="64">
        <f t="shared" si="24"/>
        <v>1032945332</v>
      </c>
      <c r="U73" s="64">
        <f t="shared" si="24"/>
        <v>1209760255</v>
      </c>
      <c r="V73" s="64">
        <f t="shared" si="24"/>
        <v>1207532350</v>
      </c>
      <c r="W73" s="64">
        <f t="shared" si="24"/>
        <v>1395998440</v>
      </c>
      <c r="X73" s="64">
        <f t="shared" si="24"/>
        <v>1400140169</v>
      </c>
      <c r="Y73" s="64">
        <f t="shared" si="24"/>
        <v>1429543267</v>
      </c>
      <c r="Z73" s="64">
        <f>Z72+Z46</f>
        <v>1398211355</v>
      </c>
      <c r="AA73" s="4"/>
      <c r="AC73" s="4"/>
      <c r="AD73" s="1540"/>
    </row>
    <row r="74" spans="2:30" ht="13.5" thickTop="1">
      <c r="C74" s="26"/>
      <c r="D74" s="26"/>
      <c r="E74" s="26"/>
      <c r="F74" s="26"/>
      <c r="G74" s="26"/>
      <c r="H74" s="26"/>
      <c r="I74" s="26"/>
      <c r="J74" s="26"/>
      <c r="K74" s="26"/>
      <c r="L74" s="26">
        <f>L73-L34</f>
        <v>0.39999997615814209</v>
      </c>
      <c r="M74" s="26"/>
      <c r="N74" s="26"/>
      <c r="O74" s="26"/>
      <c r="P74" s="26"/>
      <c r="R74" s="26"/>
      <c r="S74" s="26"/>
      <c r="T74" s="26"/>
      <c r="U74" s="26"/>
      <c r="W74" s="26"/>
      <c r="X74" s="26"/>
      <c r="Y74" s="26"/>
      <c r="Z74" s="26"/>
    </row>
    <row r="75" spans="2:30">
      <c r="O75" s="26"/>
      <c r="P75" s="26"/>
    </row>
    <row r="80" spans="2:30">
      <c r="AD80" s="46"/>
    </row>
    <row r="81" spans="30:30">
      <c r="AD81" s="43"/>
    </row>
    <row r="82" spans="30:30">
      <c r="AD82" s="43"/>
    </row>
  </sheetData>
  <mergeCells count="2">
    <mergeCell ref="W1:W3"/>
    <mergeCell ref="X1:X3"/>
  </mergeCells>
  <hyperlinks>
    <hyperlink ref="B4" location="'Cover list'!A1" display="&gt;&gt;  Content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outlinePr summaryBelow="0" summaryRight="0"/>
  </sheetPr>
  <dimension ref="B1:AS51"/>
  <sheetViews>
    <sheetView showGridLines="0" zoomScaleNormal="100" workbookViewId="0">
      <pane xSplit="2" ySplit="6" topLeftCell="O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.75" outlineLevelRow="1" outlineLevelCol="1"/>
  <cols>
    <col min="1" max="1" width="5.625" style="4" customWidth="1"/>
    <col min="2" max="2" width="40.75" style="4" customWidth="1" collapsed="1"/>
    <col min="3" max="3" width="13.5" style="4" hidden="1" customWidth="1" outlineLevel="1"/>
    <col min="4" max="4" width="11.125" style="4" hidden="1" customWidth="1" outlineLevel="1"/>
    <col min="5" max="5" width="11" style="4" hidden="1" customWidth="1" outlineLevel="1"/>
    <col min="6" max="6" width="11.125" style="4" hidden="1" customWidth="1" outlineLevel="1"/>
    <col min="7" max="7" width="11" style="4" hidden="1" customWidth="1" outlineLevel="1"/>
    <col min="8" max="8" width="12.25" style="4" hidden="1" customWidth="1" outlineLevel="1"/>
    <col min="9" max="9" width="11.625" style="4" hidden="1" customWidth="1" outlineLevel="1"/>
    <col min="10" max="10" width="12.25" style="4" hidden="1" customWidth="1" outlineLevel="1"/>
    <col min="11" max="11" width="11.625" style="4" hidden="1" customWidth="1" outlineLevel="1"/>
    <col min="12" max="12" width="12.375" style="4" hidden="1" customWidth="1" outlineLevel="1"/>
    <col min="13" max="17" width="12.375" style="4" customWidth="1"/>
    <col min="18" max="18" width="7.875" style="4" customWidth="1" collapsed="1"/>
    <col min="19" max="21" width="11.25" style="4" hidden="1" customWidth="1" outlineLevel="1"/>
    <col min="22" max="22" width="12.875" style="4" hidden="1" customWidth="1" outlineLevel="1"/>
    <col min="23" max="23" width="11.625" style="4" hidden="1" customWidth="1" outlineLevel="1"/>
    <col min="24" max="24" width="12.25" style="4" hidden="1" customWidth="1" outlineLevel="1"/>
    <col min="25" max="25" width="11.625" style="4" hidden="1" customWidth="1" outlineLevel="1"/>
    <col min="26" max="26" width="12.25" style="4" hidden="1" customWidth="1" outlineLevel="1"/>
    <col min="27" max="27" width="12.25" style="4" customWidth="1"/>
    <col min="28" max="31" width="12.375" style="4" customWidth="1"/>
    <col min="32" max="32" width="12" style="4" customWidth="1"/>
    <col min="33" max="33" width="12.5" style="4" customWidth="1"/>
    <col min="34" max="34" width="9.625" style="4" bestFit="1" customWidth="1"/>
    <col min="35" max="36" width="9" style="4"/>
    <col min="37" max="37" width="21.625" style="4" customWidth="1"/>
    <col min="38" max="44" width="9" style="4"/>
    <col min="45" max="45" width="10.375" style="4" customWidth="1"/>
    <col min="46" max="16384" width="9" style="4"/>
  </cols>
  <sheetData>
    <row r="1" spans="2:34" ht="15" customHeight="1">
      <c r="G1" s="1331"/>
      <c r="H1" s="1331"/>
      <c r="I1" s="1331"/>
      <c r="J1" s="1331"/>
      <c r="K1" s="1331"/>
      <c r="L1" s="1331"/>
      <c r="M1" s="1331"/>
      <c r="N1" s="1331"/>
      <c r="O1" s="1331"/>
      <c r="P1" s="1331"/>
      <c r="Q1" s="1331"/>
      <c r="V1" s="1331"/>
      <c r="W1" s="1331"/>
      <c r="X1" s="1331"/>
      <c r="Y1" s="1331"/>
      <c r="Z1" s="1331"/>
      <c r="AA1" s="1331"/>
      <c r="AB1" s="1331"/>
      <c r="AC1" s="1331"/>
      <c r="AD1" s="1331"/>
      <c r="AE1" s="1331"/>
    </row>
    <row r="2" spans="2:34" ht="18.75">
      <c r="B2" s="1370" t="s">
        <v>185</v>
      </c>
      <c r="C2" s="1342"/>
      <c r="D2" s="24"/>
      <c r="F2" s="1331"/>
      <c r="G2" s="1331"/>
      <c r="H2" s="1331"/>
      <c r="I2" s="1331"/>
      <c r="J2" s="1331"/>
      <c r="K2" s="1331"/>
      <c r="L2" s="1331"/>
      <c r="M2" s="1331"/>
      <c r="N2" s="1331"/>
      <c r="O2" s="1331"/>
      <c r="P2" s="1331"/>
      <c r="Q2" s="1331"/>
      <c r="V2" s="1331"/>
      <c r="W2" s="1331"/>
      <c r="X2" s="1331"/>
      <c r="Y2" s="1331"/>
      <c r="Z2" s="1331"/>
      <c r="AA2" s="1331"/>
      <c r="AB2" s="1331"/>
      <c r="AC2" s="1331"/>
      <c r="AD2" s="1331"/>
      <c r="AE2" s="1331"/>
    </row>
    <row r="3" spans="2:34">
      <c r="B3" s="25" t="s">
        <v>220</v>
      </c>
      <c r="C3" s="25"/>
      <c r="D3" s="25"/>
      <c r="T3" s="26"/>
    </row>
    <row r="4" spans="2:34">
      <c r="B4" s="27" t="s">
        <v>41</v>
      </c>
      <c r="C4" s="53"/>
      <c r="D4" s="27"/>
      <c r="E4" s="79"/>
      <c r="F4" s="79"/>
      <c r="G4" s="79"/>
      <c r="H4" s="79"/>
      <c r="I4" s="79"/>
      <c r="J4" s="79"/>
      <c r="K4" s="79" t="s">
        <v>1131</v>
      </c>
      <c r="L4" s="79" t="s">
        <v>1131</v>
      </c>
      <c r="M4" s="79"/>
      <c r="N4" s="79"/>
      <c r="O4" s="79"/>
      <c r="P4" s="79"/>
      <c r="Q4" s="79"/>
      <c r="S4" s="79"/>
      <c r="T4" s="79"/>
      <c r="U4" s="79"/>
      <c r="V4" s="79"/>
      <c r="W4" s="79"/>
      <c r="X4" s="79"/>
      <c r="Y4" s="79" t="s">
        <v>1131</v>
      </c>
      <c r="Z4" s="79" t="s">
        <v>1131</v>
      </c>
      <c r="AA4" s="79"/>
      <c r="AB4" s="79"/>
      <c r="AC4" s="79"/>
      <c r="AD4" s="79"/>
      <c r="AE4" s="79"/>
    </row>
    <row r="5" spans="2:34" s="43" customFormat="1">
      <c r="B5" s="1352"/>
      <c r="C5" s="79" t="s">
        <v>174</v>
      </c>
      <c r="D5" s="79" t="s">
        <v>174</v>
      </c>
      <c r="E5" s="79" t="s">
        <v>174</v>
      </c>
      <c r="F5" s="79" t="s">
        <v>174</v>
      </c>
      <c r="G5" s="79" t="s">
        <v>174</v>
      </c>
      <c r="H5" s="79" t="s">
        <v>174</v>
      </c>
      <c r="I5" s="79" t="s">
        <v>174</v>
      </c>
      <c r="J5" s="79" t="s">
        <v>174</v>
      </c>
      <c r="K5" s="79" t="s">
        <v>174</v>
      </c>
      <c r="L5" s="79" t="s">
        <v>174</v>
      </c>
      <c r="M5" s="79" t="s">
        <v>174</v>
      </c>
      <c r="N5" s="79" t="s">
        <v>174</v>
      </c>
      <c r="O5" s="79" t="s">
        <v>174</v>
      </c>
      <c r="P5" s="79" t="s">
        <v>174</v>
      </c>
      <c r="Q5" s="79" t="s">
        <v>174</v>
      </c>
      <c r="S5" s="79" t="s">
        <v>183</v>
      </c>
      <c r="T5" s="1353" t="s">
        <v>183</v>
      </c>
      <c r="U5" s="79" t="s">
        <v>183</v>
      </c>
      <c r="V5" s="79" t="s">
        <v>183</v>
      </c>
      <c r="W5" s="79" t="s">
        <v>183</v>
      </c>
      <c r="X5" s="79" t="s">
        <v>183</v>
      </c>
      <c r="Y5" s="79" t="s">
        <v>183</v>
      </c>
      <c r="Z5" s="79" t="s">
        <v>183</v>
      </c>
      <c r="AA5" s="79" t="s">
        <v>183</v>
      </c>
      <c r="AB5" s="79" t="s">
        <v>183</v>
      </c>
      <c r="AC5" s="79" t="s">
        <v>183</v>
      </c>
      <c r="AD5" s="79" t="s">
        <v>183</v>
      </c>
      <c r="AE5" s="79" t="s">
        <v>183</v>
      </c>
    </row>
    <row r="6" spans="2:34">
      <c r="B6" s="30"/>
      <c r="C6" s="31" t="s">
        <v>163</v>
      </c>
      <c r="D6" s="31">
        <v>2017</v>
      </c>
      <c r="E6" s="31" t="s">
        <v>165</v>
      </c>
      <c r="F6" s="31" t="s">
        <v>166</v>
      </c>
      <c r="G6" s="31" t="s">
        <v>182</v>
      </c>
      <c r="H6" s="31" t="s">
        <v>1130</v>
      </c>
      <c r="I6" s="31" t="s">
        <v>1135</v>
      </c>
      <c r="J6" s="31" t="s">
        <v>1139</v>
      </c>
      <c r="K6" s="31" t="s">
        <v>1143</v>
      </c>
      <c r="L6" s="31" t="s">
        <v>1162</v>
      </c>
      <c r="M6" s="31" t="s">
        <v>1183</v>
      </c>
      <c r="N6" s="31" t="s">
        <v>1188</v>
      </c>
      <c r="O6" s="31" t="s">
        <v>1202</v>
      </c>
      <c r="P6" s="1374" t="s">
        <v>1195</v>
      </c>
      <c r="Q6" s="31" t="s">
        <v>1228</v>
      </c>
      <c r="R6" s="32"/>
      <c r="S6" s="31" t="s">
        <v>165</v>
      </c>
      <c r="T6" s="1346" t="s">
        <v>166</v>
      </c>
      <c r="U6" s="31" t="s">
        <v>182</v>
      </c>
      <c r="V6" s="31" t="s">
        <v>1130</v>
      </c>
      <c r="W6" s="31" t="s">
        <v>1135</v>
      </c>
      <c r="X6" s="31" t="s">
        <v>1139</v>
      </c>
      <c r="Y6" s="31" t="s">
        <v>1143</v>
      </c>
      <c r="Z6" s="31" t="s">
        <v>1162</v>
      </c>
      <c r="AA6" s="31" t="s">
        <v>1183</v>
      </c>
      <c r="AB6" s="31" t="s">
        <v>1188</v>
      </c>
      <c r="AC6" s="31" t="s">
        <v>1202</v>
      </c>
      <c r="AD6" s="31" t="s">
        <v>1195</v>
      </c>
      <c r="AE6" s="31" t="s">
        <v>1228</v>
      </c>
    </row>
    <row r="7" spans="2:34">
      <c r="B7" s="33" t="s">
        <v>22</v>
      </c>
      <c r="C7" s="34">
        <v>555024833</v>
      </c>
      <c r="D7" s="34">
        <v>1143314405</v>
      </c>
      <c r="E7" s="34">
        <v>595262549</v>
      </c>
      <c r="F7" s="34">
        <v>1237015457</v>
      </c>
      <c r="G7" s="34">
        <v>657916638</v>
      </c>
      <c r="H7" s="34">
        <v>1368705394.159802</v>
      </c>
      <c r="I7" s="34">
        <v>763361237.04151106</v>
      </c>
      <c r="J7" s="34">
        <v>1553777351.1285019</v>
      </c>
      <c r="K7" s="34">
        <v>822230436</v>
      </c>
      <c r="L7" s="34">
        <v>1856078950</v>
      </c>
      <c r="M7" s="34">
        <v>1136265794</v>
      </c>
      <c r="N7" s="34">
        <v>2351996423</v>
      </c>
      <c r="O7" s="34">
        <v>1229455981</v>
      </c>
      <c r="P7" s="34">
        <v>2544688774</v>
      </c>
      <c r="Q7" s="34">
        <f>SUM(Q8:Q10)</f>
        <v>1460058332</v>
      </c>
      <c r="R7" s="34"/>
      <c r="S7" s="34">
        <v>595262549</v>
      </c>
      <c r="T7" s="34">
        <v>1237015457</v>
      </c>
      <c r="U7" s="34">
        <v>657916638</v>
      </c>
      <c r="V7" s="34">
        <v>1368705394.159802</v>
      </c>
      <c r="W7" s="34">
        <v>763361237.04151106</v>
      </c>
      <c r="X7" s="34">
        <v>1553777351.1285019</v>
      </c>
      <c r="Y7" s="34">
        <v>822230436</v>
      </c>
      <c r="Z7" s="34">
        <v>1856078950</v>
      </c>
      <c r="AA7" s="34">
        <v>1136265794</v>
      </c>
      <c r="AB7" s="34">
        <v>2351996423</v>
      </c>
      <c r="AC7" s="34">
        <v>1229455981</v>
      </c>
      <c r="AD7" s="34">
        <v>2544688774</v>
      </c>
      <c r="AE7" s="34">
        <f>SUM(AE8:AE10)</f>
        <v>1460058332</v>
      </c>
    </row>
    <row r="8" spans="2:34">
      <c r="B8" s="36" t="s">
        <v>1217</v>
      </c>
      <c r="C8" s="37">
        <v>549241238</v>
      </c>
      <c r="D8" s="37">
        <v>1131113105.2204404</v>
      </c>
      <c r="E8" s="37">
        <v>584745532</v>
      </c>
      <c r="F8" s="37">
        <v>1216851273</v>
      </c>
      <c r="G8" s="37">
        <v>643011660</v>
      </c>
      <c r="H8" s="37">
        <v>1332928824.1815665</v>
      </c>
      <c r="I8" s="37">
        <v>743958715.04151106</v>
      </c>
      <c r="J8" s="37">
        <v>1510070771.2804928</v>
      </c>
      <c r="K8" s="37">
        <v>801592345</v>
      </c>
      <c r="L8" s="37">
        <v>1807751911</v>
      </c>
      <c r="M8" s="37">
        <v>1113846914</v>
      </c>
      <c r="N8" s="37">
        <v>2299712248</v>
      </c>
      <c r="O8" s="37">
        <v>1203688312</v>
      </c>
      <c r="P8" s="37">
        <v>2509307579</v>
      </c>
      <c r="Q8" s="37">
        <v>1448541311</v>
      </c>
      <c r="R8" s="37"/>
      <c r="S8" s="37">
        <v>584745532</v>
      </c>
      <c r="T8" s="37">
        <v>1216851273</v>
      </c>
      <c r="U8" s="37">
        <v>643011660</v>
      </c>
      <c r="V8" s="37">
        <v>1332928824.1815665</v>
      </c>
      <c r="W8" s="37">
        <v>743958715.04151106</v>
      </c>
      <c r="X8" s="37">
        <v>1510070771.2804928</v>
      </c>
      <c r="Y8" s="37">
        <v>801592345</v>
      </c>
      <c r="Z8" s="37">
        <v>1807751911</v>
      </c>
      <c r="AA8" s="37">
        <v>1113846914</v>
      </c>
      <c r="AB8" s="37">
        <v>2299712248</v>
      </c>
      <c r="AC8" s="37">
        <v>1203688312</v>
      </c>
      <c r="AD8" s="37">
        <v>2509307579</v>
      </c>
      <c r="AE8" s="37">
        <v>1448541311</v>
      </c>
    </row>
    <row r="9" spans="2:34">
      <c r="B9" s="36" t="s">
        <v>51</v>
      </c>
      <c r="C9" s="37">
        <v>5783595</v>
      </c>
      <c r="D9" s="37">
        <v>12201300</v>
      </c>
      <c r="E9" s="37">
        <v>10517017</v>
      </c>
      <c r="F9" s="37">
        <v>20164184</v>
      </c>
      <c r="G9" s="37">
        <v>14904978</v>
      </c>
      <c r="H9" s="37">
        <v>35776569.978235498</v>
      </c>
      <c r="I9" s="37">
        <v>19402522</v>
      </c>
      <c r="J9" s="37">
        <v>43706579.848009139</v>
      </c>
      <c r="K9" s="37">
        <v>20638091</v>
      </c>
      <c r="L9" s="37">
        <v>48327039</v>
      </c>
      <c r="M9" s="37">
        <v>22418880</v>
      </c>
      <c r="N9" s="37">
        <v>52284175</v>
      </c>
      <c r="O9" s="37">
        <v>25767669</v>
      </c>
      <c r="P9" s="37">
        <v>34800192</v>
      </c>
      <c r="Q9" s="37">
        <v>10103608</v>
      </c>
      <c r="R9" s="37"/>
      <c r="S9" s="37">
        <v>10517017</v>
      </c>
      <c r="T9" s="37">
        <v>20164184</v>
      </c>
      <c r="U9" s="37">
        <v>14904978</v>
      </c>
      <c r="V9" s="37">
        <v>35776569.978235498</v>
      </c>
      <c r="W9" s="37">
        <v>19402522</v>
      </c>
      <c r="X9" s="37">
        <v>43706579.848009139</v>
      </c>
      <c r="Y9" s="37">
        <v>20638091</v>
      </c>
      <c r="Z9" s="4">
        <v>48327039</v>
      </c>
      <c r="AA9" s="37">
        <v>22418880</v>
      </c>
      <c r="AB9" s="37">
        <v>52284175</v>
      </c>
      <c r="AC9" s="37">
        <v>25767669</v>
      </c>
      <c r="AD9" s="37">
        <v>34800192</v>
      </c>
      <c r="AE9" s="37">
        <v>10103608</v>
      </c>
    </row>
    <row r="10" spans="2:34">
      <c r="B10" s="36" t="s">
        <v>36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>
        <v>581003</v>
      </c>
      <c r="Q10" s="37">
        <v>1413413</v>
      </c>
      <c r="R10" s="37"/>
      <c r="S10" s="37"/>
      <c r="T10" s="37"/>
      <c r="U10" s="37"/>
      <c r="V10" s="37"/>
      <c r="W10" s="37"/>
      <c r="X10" s="37"/>
      <c r="Y10" s="37"/>
      <c r="AA10" s="37"/>
      <c r="AB10" s="37"/>
      <c r="AC10" s="37"/>
      <c r="AD10" s="37">
        <v>581003</v>
      </c>
      <c r="AE10" s="37">
        <v>1413413</v>
      </c>
    </row>
    <row r="11" spans="2:34" s="43" customFormat="1" collapsed="1">
      <c r="B11" s="1536" t="s">
        <v>20</v>
      </c>
      <c r="C11" s="34">
        <f>SUM(C12:C13)</f>
        <v>-406356474.55841798</v>
      </c>
      <c r="D11" s="34">
        <f>SUM(D12:D13)</f>
        <v>-853816856.00048995</v>
      </c>
      <c r="E11" s="34">
        <f>SUM(E12:E13)</f>
        <v>-448298076.05816859</v>
      </c>
      <c r="F11" s="34">
        <f>SUM(F12:F13)</f>
        <v>-940941518.7769295</v>
      </c>
      <c r="G11" s="34">
        <f>SUM(G12:G13)</f>
        <v>-502594011.86553138</v>
      </c>
      <c r="H11" s="34">
        <f t="shared" ref="H11:M11" si="0">SUM(H12:H13)</f>
        <v>-1056706053</v>
      </c>
      <c r="I11" s="34">
        <f t="shared" si="0"/>
        <v>-583839568</v>
      </c>
      <c r="J11" s="34">
        <f t="shared" si="0"/>
        <v>-1188048522</v>
      </c>
      <c r="K11" s="34">
        <f t="shared" si="0"/>
        <v>-631754651</v>
      </c>
      <c r="L11" s="34">
        <f t="shared" si="0"/>
        <v>-1421306307</v>
      </c>
      <c r="M11" s="34">
        <f t="shared" si="0"/>
        <v>-872641314</v>
      </c>
      <c r="N11" s="34">
        <v>-1816508897</v>
      </c>
      <c r="O11" s="34">
        <v>-949768614</v>
      </c>
      <c r="P11" s="34">
        <v>-1967427800</v>
      </c>
      <c r="Q11" s="34">
        <v>-1132799840</v>
      </c>
      <c r="R11" s="34"/>
      <c r="S11" s="34">
        <f>SUM(S12:S13)</f>
        <v>-448298076.05816859</v>
      </c>
      <c r="T11" s="34">
        <f t="shared" ref="T11:AA11" si="1">SUM(T12:T13)</f>
        <v>-940941518.7769295</v>
      </c>
      <c r="U11" s="34">
        <f>SUM(U12:U13)</f>
        <v>-502594011.86553138</v>
      </c>
      <c r="V11" s="34">
        <f t="shared" si="1"/>
        <v>-1056706053</v>
      </c>
      <c r="W11" s="34">
        <f t="shared" si="1"/>
        <v>-583839568</v>
      </c>
      <c r="X11" s="34">
        <f t="shared" si="1"/>
        <v>-1188021688</v>
      </c>
      <c r="Y11" s="34">
        <f t="shared" si="1"/>
        <v>-631739560</v>
      </c>
      <c r="Z11" s="34">
        <f t="shared" si="1"/>
        <v>-1421279573</v>
      </c>
      <c r="AA11" s="34">
        <f t="shared" si="1"/>
        <v>-871919096</v>
      </c>
      <c r="AB11" s="34">
        <v>-1814993573.9893367</v>
      </c>
      <c r="AC11" s="34">
        <v>-948934910</v>
      </c>
      <c r="AD11" s="34">
        <v>-1965502035</v>
      </c>
      <c r="AE11" s="34">
        <v>-1131487720</v>
      </c>
      <c r="AF11" s="4"/>
      <c r="AG11" s="4"/>
      <c r="AH11" s="4"/>
    </row>
    <row r="12" spans="2:34" s="40" customFormat="1" hidden="1" outlineLevel="1">
      <c r="B12" s="38" t="s">
        <v>82</v>
      </c>
      <c r="C12" s="16">
        <f>-406356474.558418-C13</f>
        <v>-391462222.55841798</v>
      </c>
      <c r="D12" s="39">
        <f>-853816856.00049-D13</f>
        <v>-823797268.00048995</v>
      </c>
      <c r="E12" s="39">
        <v>-430930181.05816859</v>
      </c>
      <c r="F12" s="39">
        <v>-906730546.7769295</v>
      </c>
      <c r="G12" s="39">
        <v>-485209092.86553138</v>
      </c>
      <c r="H12" s="39">
        <v>-1022098438</v>
      </c>
      <c r="I12" s="39">
        <v>-564355201</v>
      </c>
      <c r="J12" s="39">
        <v>-1149756962</v>
      </c>
      <c r="K12" s="39">
        <v>-614433417</v>
      </c>
      <c r="L12" s="39">
        <f>-1371136427-4464893</f>
        <v>-1375601320</v>
      </c>
      <c r="M12" s="39">
        <v>-851315744</v>
      </c>
      <c r="N12" s="39"/>
      <c r="O12" s="39"/>
      <c r="P12" s="39"/>
      <c r="Q12" s="39"/>
      <c r="R12" s="34"/>
      <c r="S12" s="39">
        <v>-430930181.05816859</v>
      </c>
      <c r="T12" s="39">
        <v>-906730546.7769295</v>
      </c>
      <c r="U12" s="39">
        <v>-485209092.86553138</v>
      </c>
      <c r="V12" s="39">
        <v>-1022098438</v>
      </c>
      <c r="W12" s="39">
        <v>-564355201</v>
      </c>
      <c r="X12" s="39">
        <v>-1149730128</v>
      </c>
      <c r="Y12" s="39">
        <v>-614418326</v>
      </c>
      <c r="Z12" s="39">
        <f>-1371109693-4464893</f>
        <v>-1375574586</v>
      </c>
      <c r="AA12" s="39">
        <v>-850646642</v>
      </c>
      <c r="AB12" s="39"/>
      <c r="AC12" s="39"/>
      <c r="AD12" s="39"/>
      <c r="AE12" s="39"/>
      <c r="AF12" s="4"/>
      <c r="AG12" s="4"/>
      <c r="AH12" s="4"/>
    </row>
    <row r="13" spans="2:34" s="40" customFormat="1" hidden="1" outlineLevel="1">
      <c r="B13" s="38" t="s">
        <v>128</v>
      </c>
      <c r="C13" s="39">
        <v>-14894252</v>
      </c>
      <c r="D13" s="39">
        <v>-30019588</v>
      </c>
      <c r="E13" s="39">
        <v>-17367895</v>
      </c>
      <c r="F13" s="39">
        <v>-34210972</v>
      </c>
      <c r="G13" s="39">
        <v>-17384919</v>
      </c>
      <c r="H13" s="39">
        <v>-34607615</v>
      </c>
      <c r="I13" s="39">
        <v>-19484367</v>
      </c>
      <c r="J13" s="39">
        <v>-38291560</v>
      </c>
      <c r="K13" s="39">
        <v>-17321234</v>
      </c>
      <c r="L13" s="39">
        <f>-45704987</f>
        <v>-45704987</v>
      </c>
      <c r="M13" s="39">
        <v>-21325570</v>
      </c>
      <c r="N13" s="39"/>
      <c r="O13" s="39"/>
      <c r="P13" s="39"/>
      <c r="Q13" s="39"/>
      <c r="R13" s="34"/>
      <c r="S13" s="39">
        <v>-17367895</v>
      </c>
      <c r="T13" s="39">
        <v>-34210972</v>
      </c>
      <c r="U13" s="39">
        <v>-17384919</v>
      </c>
      <c r="V13" s="39">
        <v>-34607615</v>
      </c>
      <c r="W13" s="39">
        <v>-19484367</v>
      </c>
      <c r="X13" s="39">
        <v>-38291560</v>
      </c>
      <c r="Y13" s="39">
        <v>-17321234</v>
      </c>
      <c r="Z13" s="40">
        <f>-45704987</f>
        <v>-45704987</v>
      </c>
      <c r="AA13" s="40">
        <v>-21272454</v>
      </c>
      <c r="AB13" s="39"/>
      <c r="AC13" s="39"/>
      <c r="AD13" s="39"/>
      <c r="AE13" s="39"/>
      <c r="AF13" s="4"/>
      <c r="AG13" s="4"/>
      <c r="AH13" s="4"/>
    </row>
    <row r="14" spans="2:34" s="43" customFormat="1">
      <c r="B14" s="41" t="s">
        <v>21</v>
      </c>
      <c r="C14" s="42">
        <f t="shared" ref="C14:O14" si="2">C7+C11</f>
        <v>148668358.44158202</v>
      </c>
      <c r="D14" s="42">
        <f t="shared" si="2"/>
        <v>289497548.99951005</v>
      </c>
      <c r="E14" s="42">
        <f t="shared" si="2"/>
        <v>146964472.94183141</v>
      </c>
      <c r="F14" s="42">
        <f t="shared" si="2"/>
        <v>296073938.2230705</v>
      </c>
      <c r="G14" s="42">
        <f t="shared" si="2"/>
        <v>155322626.13446862</v>
      </c>
      <c r="H14" s="42">
        <f t="shared" si="2"/>
        <v>311999341.15980196</v>
      </c>
      <c r="I14" s="42">
        <f t="shared" si="2"/>
        <v>179521669.04151106</v>
      </c>
      <c r="J14" s="42">
        <f t="shared" si="2"/>
        <v>365728829.12850189</v>
      </c>
      <c r="K14" s="42">
        <f t="shared" si="2"/>
        <v>190475785</v>
      </c>
      <c r="L14" s="42">
        <f t="shared" si="2"/>
        <v>434772643</v>
      </c>
      <c r="M14" s="42">
        <f t="shared" si="2"/>
        <v>263624480</v>
      </c>
      <c r="N14" s="42">
        <f t="shared" si="2"/>
        <v>535487526</v>
      </c>
      <c r="O14" s="42">
        <f t="shared" si="2"/>
        <v>279687367</v>
      </c>
      <c r="P14" s="42">
        <f t="shared" ref="P14:Q14" si="3">P7+P11</f>
        <v>577260974</v>
      </c>
      <c r="Q14" s="42">
        <f t="shared" si="3"/>
        <v>327258492</v>
      </c>
      <c r="R14" s="34"/>
      <c r="S14" s="42">
        <f t="shared" ref="S14:AD14" si="4">S7+S11</f>
        <v>146964472.94183141</v>
      </c>
      <c r="T14" s="42">
        <f t="shared" si="4"/>
        <v>296073938.2230705</v>
      </c>
      <c r="U14" s="42">
        <f t="shared" si="4"/>
        <v>155322626.13446862</v>
      </c>
      <c r="V14" s="42">
        <f t="shared" si="4"/>
        <v>311999341.15980196</v>
      </c>
      <c r="W14" s="42">
        <f t="shared" si="4"/>
        <v>179521669.04151106</v>
      </c>
      <c r="X14" s="42">
        <f t="shared" si="4"/>
        <v>365755663.12850189</v>
      </c>
      <c r="Y14" s="42">
        <f t="shared" si="4"/>
        <v>190490876</v>
      </c>
      <c r="Z14" s="42">
        <f t="shared" si="4"/>
        <v>434799377</v>
      </c>
      <c r="AA14" s="42">
        <f t="shared" si="4"/>
        <v>264346698</v>
      </c>
      <c r="AB14" s="42">
        <f t="shared" si="4"/>
        <v>537002849.01066327</v>
      </c>
      <c r="AC14" s="42">
        <f t="shared" si="4"/>
        <v>280521071</v>
      </c>
      <c r="AD14" s="42">
        <f t="shared" si="4"/>
        <v>579186739</v>
      </c>
      <c r="AE14" s="42">
        <f t="shared" ref="AE14" si="5">AE7+AE11</f>
        <v>328570612</v>
      </c>
      <c r="AF14" s="4"/>
      <c r="AG14" s="4"/>
      <c r="AH14" s="4"/>
    </row>
    <row r="15" spans="2:34">
      <c r="B15" s="44" t="s">
        <v>37</v>
      </c>
      <c r="C15" s="45">
        <f t="shared" ref="C15:O15" si="6">C14/C7</f>
        <v>0.26785893099233998</v>
      </c>
      <c r="D15" s="45">
        <f t="shared" si="6"/>
        <v>0.25320904532774607</v>
      </c>
      <c r="E15" s="45">
        <f t="shared" si="6"/>
        <v>0.24689017172123726</v>
      </c>
      <c r="F15" s="45">
        <f t="shared" si="6"/>
        <v>0.23934538291146876</v>
      </c>
      <c r="G15" s="45">
        <f t="shared" si="6"/>
        <v>0.23608253259354206</v>
      </c>
      <c r="H15" s="45">
        <f t="shared" si="6"/>
        <v>0.22795215280884235</v>
      </c>
      <c r="I15" s="45">
        <f t="shared" si="6"/>
        <v>0.23517262906519421</v>
      </c>
      <c r="J15" s="45">
        <f t="shared" si="6"/>
        <v>0.23538046095399356</v>
      </c>
      <c r="K15" s="45">
        <f t="shared" si="6"/>
        <v>0.23165742431845468</v>
      </c>
      <c r="L15" s="45">
        <f t="shared" si="6"/>
        <v>0.23424253747395821</v>
      </c>
      <c r="M15" s="45">
        <f t="shared" si="6"/>
        <v>0.23200951871653366</v>
      </c>
      <c r="N15" s="45">
        <f t="shared" si="6"/>
        <v>0.22767361411076431</v>
      </c>
      <c r="O15" s="45">
        <f t="shared" si="6"/>
        <v>0.22748871966323778</v>
      </c>
      <c r="P15" s="45">
        <f t="shared" ref="P15:Q15" si="7">P14/P7</f>
        <v>0.22684934200916154</v>
      </c>
      <c r="Q15" s="45">
        <f t="shared" si="7"/>
        <v>0.22414069686634958</v>
      </c>
      <c r="R15" s="34"/>
      <c r="S15" s="45">
        <f t="shared" ref="S15:AC15" si="8">S14/S7</f>
        <v>0.24689017172123726</v>
      </c>
      <c r="T15" s="45">
        <f t="shared" si="8"/>
        <v>0.23934538291146876</v>
      </c>
      <c r="U15" s="45">
        <f t="shared" si="8"/>
        <v>0.23608253259354206</v>
      </c>
      <c r="V15" s="45">
        <f t="shared" si="8"/>
        <v>0.22795215280884235</v>
      </c>
      <c r="W15" s="45">
        <f t="shared" si="8"/>
        <v>0.23517262906519421</v>
      </c>
      <c r="X15" s="45">
        <f t="shared" si="8"/>
        <v>0.23539773112463966</v>
      </c>
      <c r="Y15" s="45">
        <f t="shared" si="8"/>
        <v>0.23167577805402476</v>
      </c>
      <c r="Z15" s="45">
        <f t="shared" si="8"/>
        <v>0.23425694095609456</v>
      </c>
      <c r="AA15" s="45">
        <f t="shared" si="8"/>
        <v>0.23264512528307263</v>
      </c>
      <c r="AB15" s="45">
        <f t="shared" si="8"/>
        <v>0.22831788507811998</v>
      </c>
      <c r="AC15" s="45">
        <f t="shared" si="8"/>
        <v>0.2281668277149973</v>
      </c>
      <c r="AD15" s="45">
        <f t="shared" ref="AD15" si="9">AD14/AD7</f>
        <v>0.22760612021311177</v>
      </c>
      <c r="AE15" s="45">
        <f>AE14/AE7</f>
        <v>0.22503937328991594</v>
      </c>
    </row>
    <row r="16" spans="2:34" s="43" customFormat="1">
      <c r="B16" s="1351" t="s">
        <v>1145</v>
      </c>
      <c r="C16" s="34">
        <f>SUM(C17:C31)</f>
        <v>-118832181.4415817</v>
      </c>
      <c r="D16" s="34">
        <f t="shared" ref="D16:Q16" si="10">SUM(D17:D31)</f>
        <v>-238593075.99274027</v>
      </c>
      <c r="E16" s="34">
        <f t="shared" si="10"/>
        <v>-124026740</v>
      </c>
      <c r="F16" s="34">
        <f t="shared" si="10"/>
        <v>-253779340</v>
      </c>
      <c r="G16" s="34">
        <f t="shared" si="10"/>
        <v>-142649572</v>
      </c>
      <c r="H16" s="34">
        <f t="shared" si="10"/>
        <v>-291554553</v>
      </c>
      <c r="I16" s="34">
        <f t="shared" si="10"/>
        <v>-156326739.3480171</v>
      </c>
      <c r="J16" s="34">
        <f t="shared" si="10"/>
        <v>-318159483</v>
      </c>
      <c r="K16" s="34">
        <f t="shared" si="10"/>
        <v>-165949920</v>
      </c>
      <c r="L16" s="34">
        <f t="shared" si="10"/>
        <v>-378713368</v>
      </c>
      <c r="M16" s="34">
        <f t="shared" si="10"/>
        <v>-223736838</v>
      </c>
      <c r="N16" s="34">
        <f t="shared" si="10"/>
        <v>-494331577</v>
      </c>
      <c r="O16" s="34">
        <f t="shared" si="10"/>
        <v>-244114196.95075849</v>
      </c>
      <c r="P16" s="34">
        <f t="shared" si="10"/>
        <v>-512481179.12626946</v>
      </c>
      <c r="Q16" s="34">
        <f t="shared" si="10"/>
        <v>-300013398</v>
      </c>
      <c r="R16" s="34"/>
      <c r="S16" s="34">
        <f t="shared" ref="S16" si="11">SUM(S17:S31)</f>
        <v>-114842621</v>
      </c>
      <c r="T16" s="34">
        <f t="shared" ref="T16" si="12">SUM(T17:T31)</f>
        <v>-236814743.833363</v>
      </c>
      <c r="U16" s="34">
        <f t="shared" ref="U16" si="13">SUM(U17:U31)</f>
        <v>-134403788</v>
      </c>
      <c r="V16" s="34">
        <f t="shared" ref="V16" si="14">SUM(V17:V31)</f>
        <v>-270648052</v>
      </c>
      <c r="W16" s="34">
        <f t="shared" ref="W16" si="15">SUM(W17:W31)</f>
        <v>-145576248.1994465</v>
      </c>
      <c r="X16" s="34">
        <f t="shared" ref="X16" si="16">SUM(X17:X31)</f>
        <v>-296425439</v>
      </c>
      <c r="Y16" s="34">
        <f t="shared" ref="Y16" si="17">SUM(Y17:Y31)</f>
        <v>-153488054</v>
      </c>
      <c r="Z16" s="34">
        <f t="shared" ref="Z16" si="18">SUM(Z17:Z31)</f>
        <v>-352481342</v>
      </c>
      <c r="AA16" s="34">
        <f t="shared" ref="AA16" si="19">SUM(AA17:AA31)</f>
        <v>-209158007</v>
      </c>
      <c r="AB16" s="34">
        <f t="shared" ref="AB16" si="20">SUM(AB17:AB31)</f>
        <v>-464142007.74300778</v>
      </c>
      <c r="AC16" s="34">
        <f t="shared" ref="AC16" si="21">SUM(AC17:AC31)</f>
        <v>-227167640</v>
      </c>
      <c r="AD16" s="34">
        <f t="shared" ref="AD16" si="22">SUM(AD17:AD31)</f>
        <v>-477244720.89223993</v>
      </c>
      <c r="AE16" s="34">
        <f t="shared" ref="AE16" si="23">SUM(AE17:AE31)</f>
        <v>-279489281</v>
      </c>
      <c r="AF16" s="4"/>
      <c r="AG16" s="4"/>
      <c r="AH16" s="4"/>
    </row>
    <row r="17" spans="2:45" s="40" customFormat="1">
      <c r="B17" s="38" t="s">
        <v>1146</v>
      </c>
      <c r="C17" s="39">
        <v>-41967963.570447497</v>
      </c>
      <c r="D17" s="39">
        <v>-83737178.995651796</v>
      </c>
      <c r="E17" s="39">
        <v>-41234568</v>
      </c>
      <c r="F17" s="39">
        <v>-83622350</v>
      </c>
      <c r="G17" s="39">
        <v>-46477397</v>
      </c>
      <c r="H17" s="39">
        <v>-95517926</v>
      </c>
      <c r="I17" s="39">
        <v>-70255216</v>
      </c>
      <c r="J17" s="39">
        <v>-139885603</v>
      </c>
      <c r="K17" s="39">
        <f>-75429264+1628255</f>
        <v>-73801009</v>
      </c>
      <c r="L17" s="40">
        <f>-166606430+3451956+18988</f>
        <v>-163135486</v>
      </c>
      <c r="M17" s="40">
        <f>-98114881</f>
        <v>-98114881</v>
      </c>
      <c r="N17" s="40">
        <v>-199620218</v>
      </c>
      <c r="O17" s="40">
        <v>-106731456</v>
      </c>
      <c r="P17" s="40">
        <v>-224301778.80770001</v>
      </c>
      <c r="Q17" s="40">
        <v>-136541595</v>
      </c>
      <c r="R17" s="34"/>
      <c r="S17" s="39">
        <v>-41234568</v>
      </c>
      <c r="T17" s="39">
        <v>-83622350</v>
      </c>
      <c r="U17" s="39">
        <v>-46477397</v>
      </c>
      <c r="V17" s="39">
        <v>-95517926</v>
      </c>
      <c r="W17" s="39">
        <v>-70255216</v>
      </c>
      <c r="X17" s="39">
        <v>-139885603</v>
      </c>
      <c r="Y17" s="39">
        <f>-75429264+1628255</f>
        <v>-73801009</v>
      </c>
      <c r="Z17" s="40">
        <f>-166606430+3451956+18988</f>
        <v>-163135486</v>
      </c>
      <c r="AA17" s="40">
        <v>-98114881</v>
      </c>
      <c r="AB17" s="40">
        <v>-199620218</v>
      </c>
      <c r="AC17" s="40">
        <v>-106731456</v>
      </c>
      <c r="AD17" s="40">
        <v>-224301778.807724</v>
      </c>
      <c r="AE17" s="40">
        <v>-136541595</v>
      </c>
      <c r="AF17" s="4"/>
      <c r="AG17" s="4"/>
      <c r="AH17" s="4"/>
    </row>
    <row r="18" spans="2:45" s="40" customFormat="1">
      <c r="B18" s="38" t="s">
        <v>1237</v>
      </c>
      <c r="C18" s="39">
        <v>-16447618</v>
      </c>
      <c r="D18" s="39">
        <v>-33715702</v>
      </c>
      <c r="E18" s="39">
        <v>-17437457</v>
      </c>
      <c r="F18" s="39">
        <v>-36517438</v>
      </c>
      <c r="G18" s="39">
        <v>-23269735</v>
      </c>
      <c r="H18" s="39">
        <v>-46787944</v>
      </c>
      <c r="I18" s="39">
        <v>-23083232</v>
      </c>
      <c r="J18" s="39">
        <v>-45917093</v>
      </c>
      <c r="K18" s="39">
        <v>-23233765</v>
      </c>
      <c r="L18" s="39">
        <v>-53398964</v>
      </c>
      <c r="M18" s="39">
        <v>-30527894</v>
      </c>
      <c r="N18" s="39">
        <v>-95732495</v>
      </c>
      <c r="O18" s="39">
        <v>-32807449.52008383</v>
      </c>
      <c r="P18" s="39">
        <v>-68613041.292157128</v>
      </c>
      <c r="Q18" s="39">
        <v>-33096090</v>
      </c>
      <c r="R18" s="34"/>
      <c r="S18" s="39">
        <v>-34873896</v>
      </c>
      <c r="T18" s="39">
        <v>-73153513.025712907</v>
      </c>
      <c r="U18" s="39">
        <v>-45477397</v>
      </c>
      <c r="V18" s="39">
        <v>-88094436</v>
      </c>
      <c r="W18" s="39">
        <v>-45072448</v>
      </c>
      <c r="X18" s="39">
        <v>-89765378</v>
      </c>
      <c r="Y18" s="39">
        <v>-45256340</v>
      </c>
      <c r="Z18" s="40">
        <v>-105327003</v>
      </c>
      <c r="AA18" s="40">
        <v>-62325435</v>
      </c>
      <c r="AB18" s="39">
        <v>-159337276</v>
      </c>
      <c r="AC18" s="39">
        <v>-65328147</v>
      </c>
      <c r="AD18" s="39">
        <v>-134097501.41784301</v>
      </c>
      <c r="AE18" s="39">
        <v>-68675135</v>
      </c>
      <c r="AF18" s="4"/>
      <c r="AG18" s="4"/>
      <c r="AH18" s="4"/>
    </row>
    <row r="19" spans="2:45" s="40" customFormat="1">
      <c r="B19" s="38" t="s">
        <v>1175</v>
      </c>
      <c r="C19" s="39">
        <v>-10182203</v>
      </c>
      <c r="D19" s="39">
        <v>-19591019</v>
      </c>
      <c r="E19" s="39">
        <v>-11264254</v>
      </c>
      <c r="F19" s="39">
        <v>-21273518</v>
      </c>
      <c r="G19" s="39">
        <v>-12123980</v>
      </c>
      <c r="H19" s="39">
        <v>-24737247.09231434</v>
      </c>
      <c r="I19" s="39">
        <v>-14111979</v>
      </c>
      <c r="J19" s="39">
        <v>-28826999</v>
      </c>
      <c r="K19" s="39">
        <f>-15419551+121382</f>
        <v>-15298169</v>
      </c>
      <c r="L19" s="39">
        <f>-34252210+254146</f>
        <v>-33998064</v>
      </c>
      <c r="M19" s="39">
        <v>-20626489</v>
      </c>
      <c r="N19" s="39">
        <v>-42173670</v>
      </c>
      <c r="O19" s="39">
        <v>-26005063.685159504</v>
      </c>
      <c r="P19" s="39">
        <v>-53394893.162576102</v>
      </c>
      <c r="Q19" s="39">
        <v>-31088627</v>
      </c>
      <c r="R19" s="34"/>
      <c r="S19" s="39">
        <v>-11264254</v>
      </c>
      <c r="T19" s="39">
        <v>-21273517.8076501</v>
      </c>
      <c r="U19" s="39">
        <v>-12123980</v>
      </c>
      <c r="V19" s="39">
        <v>-24737247.919994421</v>
      </c>
      <c r="W19" s="39">
        <v>-14111979</v>
      </c>
      <c r="X19" s="39">
        <v>-28826999</v>
      </c>
      <c r="Y19" s="39">
        <f>-15419551+121382</f>
        <v>-15298169</v>
      </c>
      <c r="Z19" s="39">
        <f>-34252210+254146</f>
        <v>-33998064</v>
      </c>
      <c r="AA19" s="39">
        <v>-20626489</v>
      </c>
      <c r="AB19" s="39">
        <v>-42173670</v>
      </c>
      <c r="AC19" s="39">
        <v>-25997991</v>
      </c>
      <c r="AD19" s="39">
        <v>-53377212.0022761</v>
      </c>
      <c r="AE19" s="39">
        <v>-31077942</v>
      </c>
      <c r="AF19" s="4"/>
      <c r="AG19" s="4"/>
      <c r="AH19" s="4"/>
    </row>
    <row r="20" spans="2:45" s="40" customFormat="1">
      <c r="B20" s="38" t="s">
        <v>83</v>
      </c>
      <c r="C20" s="39">
        <v>-4208912</v>
      </c>
      <c r="D20" s="39">
        <v>-8431919</v>
      </c>
      <c r="E20" s="39">
        <v>-3277134</v>
      </c>
      <c r="F20" s="39">
        <v>-8601093</v>
      </c>
      <c r="G20" s="39">
        <v>-4126613</v>
      </c>
      <c r="H20" s="39">
        <v>-7715200</v>
      </c>
      <c r="I20" s="39">
        <v>-2316468</v>
      </c>
      <c r="J20" s="39">
        <v>-7627912</v>
      </c>
      <c r="K20" s="39">
        <f>-3934451</f>
        <v>-3934451</v>
      </c>
      <c r="L20" s="40">
        <v>-11474781</v>
      </c>
      <c r="M20" s="40">
        <v>-4407431</v>
      </c>
      <c r="N20" s="40">
        <v>-11819355</v>
      </c>
      <c r="O20" s="40">
        <v>-5278318</v>
      </c>
      <c r="P20" s="40">
        <v>-14599602.479526101</v>
      </c>
      <c r="Q20" s="40">
        <v>-9221026</v>
      </c>
      <c r="R20" s="34"/>
      <c r="S20" s="39">
        <v>-3277134</v>
      </c>
      <c r="T20" s="39">
        <v>-8601093</v>
      </c>
      <c r="U20" s="39">
        <v>-4126613</v>
      </c>
      <c r="V20" s="39">
        <v>-7715200</v>
      </c>
      <c r="W20" s="39">
        <v>-2316468</v>
      </c>
      <c r="X20" s="39">
        <v>-7627912</v>
      </c>
      <c r="Y20" s="39">
        <v>-3934451</v>
      </c>
      <c r="Z20" s="40">
        <v>-11474781</v>
      </c>
      <c r="AA20" s="40">
        <v>-4407431</v>
      </c>
      <c r="AB20" s="40">
        <v>-11819355</v>
      </c>
      <c r="AC20" s="40">
        <v>-5278318</v>
      </c>
      <c r="AD20" s="40">
        <v>-14599602.479526101</v>
      </c>
      <c r="AE20" s="40">
        <v>-9221026</v>
      </c>
      <c r="AF20" s="4"/>
      <c r="AG20" s="4"/>
      <c r="AH20" s="4"/>
    </row>
    <row r="21" spans="2:45" s="40" customFormat="1">
      <c r="B21" s="38" t="s">
        <v>88</v>
      </c>
      <c r="C21" s="39">
        <v>-1917835</v>
      </c>
      <c r="D21" s="39">
        <v>-4466211</v>
      </c>
      <c r="E21" s="39">
        <v>-3018426</v>
      </c>
      <c r="F21" s="39">
        <v>-6058852</v>
      </c>
      <c r="G21" s="39">
        <v>-3177578</v>
      </c>
      <c r="H21" s="39">
        <v>-6516095</v>
      </c>
      <c r="I21" s="39">
        <v>-3652925</v>
      </c>
      <c r="J21" s="39">
        <v>-7108373</v>
      </c>
      <c r="K21" s="39">
        <v>-3891131</v>
      </c>
      <c r="L21" s="40">
        <v>-9022470</v>
      </c>
      <c r="M21" s="40">
        <v>-6039193</v>
      </c>
      <c r="N21" s="40">
        <v>-12125837</v>
      </c>
      <c r="O21" s="40">
        <v>-6340174</v>
      </c>
      <c r="P21" s="40">
        <v>-13868153.1427816</v>
      </c>
      <c r="Q21" s="40">
        <v>-8316028</v>
      </c>
      <c r="R21" s="34"/>
      <c r="S21" s="39">
        <v>-3018426</v>
      </c>
      <c r="T21" s="39">
        <v>-6058852</v>
      </c>
      <c r="U21" s="39">
        <v>-3177578</v>
      </c>
      <c r="V21" s="39">
        <v>-6516095</v>
      </c>
      <c r="W21" s="39">
        <v>-3652925</v>
      </c>
      <c r="X21" s="39">
        <v>-7108373</v>
      </c>
      <c r="Y21" s="39">
        <v>-3891131</v>
      </c>
      <c r="Z21" s="40">
        <v>-9022470</v>
      </c>
      <c r="AA21" s="40">
        <v>-6039193</v>
      </c>
      <c r="AB21" s="40">
        <v>-12125836.7430078</v>
      </c>
      <c r="AC21" s="40">
        <v>-6340174</v>
      </c>
      <c r="AD21" s="40">
        <v>-13868153.1427816</v>
      </c>
      <c r="AE21" s="40">
        <v>-8316028</v>
      </c>
      <c r="AF21" s="4"/>
      <c r="AG21" s="4"/>
      <c r="AH21" s="4"/>
    </row>
    <row r="22" spans="2:45" s="40" customFormat="1">
      <c r="B22" s="38" t="s">
        <v>87</v>
      </c>
      <c r="C22" s="39">
        <v>-2349919</v>
      </c>
      <c r="D22" s="39">
        <v>-5040869</v>
      </c>
      <c r="E22" s="39">
        <v>-1850194</v>
      </c>
      <c r="F22" s="39">
        <v>-4420757</v>
      </c>
      <c r="G22" s="39">
        <v>-2454539</v>
      </c>
      <c r="H22" s="39">
        <v>-5747572</v>
      </c>
      <c r="I22" s="39">
        <v>-2895271</v>
      </c>
      <c r="J22" s="39">
        <v>-6731558</v>
      </c>
      <c r="K22" s="39">
        <f>-3298559+3046</f>
        <v>-3295513</v>
      </c>
      <c r="L22" s="39">
        <f>-8216039+13672</f>
        <v>-8202367</v>
      </c>
      <c r="M22" s="39">
        <v>-4382609</v>
      </c>
      <c r="N22" s="39">
        <v>-9602540</v>
      </c>
      <c r="O22" s="39">
        <v>-4907307.3509397199</v>
      </c>
      <c r="P22" s="39">
        <v>-10763088.2159537</v>
      </c>
      <c r="Q22" s="39">
        <v>-5948045</v>
      </c>
      <c r="R22" s="34"/>
      <c r="S22" s="39">
        <v>-1850194</v>
      </c>
      <c r="T22" s="39">
        <v>-4420757</v>
      </c>
      <c r="U22" s="39">
        <v>-2454539</v>
      </c>
      <c r="V22" s="39">
        <v>-5747572</v>
      </c>
      <c r="W22" s="39">
        <v>-2895271</v>
      </c>
      <c r="X22" s="39">
        <v>-6731558</v>
      </c>
      <c r="Y22" s="39">
        <f>-3298559+3046</f>
        <v>-3295513</v>
      </c>
      <c r="Z22" s="40">
        <v>-8178649</v>
      </c>
      <c r="AA22" s="40">
        <v>-4356112</v>
      </c>
      <c r="AB22" s="39">
        <v>-9549250</v>
      </c>
      <c r="AC22" s="39">
        <v>-4889144</v>
      </c>
      <c r="AD22" s="39">
        <v>-10728031</v>
      </c>
      <c r="AE22" s="39">
        <v>-5930619</v>
      </c>
      <c r="AF22" s="4"/>
      <c r="AG22" s="4"/>
      <c r="AH22" s="4"/>
    </row>
    <row r="23" spans="2:45" s="40" customFormat="1">
      <c r="B23" s="38" t="s">
        <v>172</v>
      </c>
      <c r="C23" s="39">
        <v>-21727055</v>
      </c>
      <c r="D23" s="39">
        <v>-45323021</v>
      </c>
      <c r="E23" s="39">
        <v>-26691809</v>
      </c>
      <c r="F23" s="39">
        <v>-54151625</v>
      </c>
      <c r="G23" s="39">
        <v>-30674037</v>
      </c>
      <c r="H23" s="39">
        <v>-63195197.90768566</v>
      </c>
      <c r="I23" s="39">
        <v>-33636111.348017097</v>
      </c>
      <c r="J23" s="39">
        <v>-67011155</v>
      </c>
      <c r="K23" s="39">
        <v>-35347662</v>
      </c>
      <c r="L23" s="39">
        <f>-80834345-3623</f>
        <v>-80837968</v>
      </c>
      <c r="M23" s="39">
        <f>-48712052</f>
        <v>-48712052</v>
      </c>
      <c r="N23" s="39">
        <v>-99209006</v>
      </c>
      <c r="O23" s="39">
        <v>-52536274.516348198</v>
      </c>
      <c r="P23" s="39">
        <v>-107784039.038969</v>
      </c>
      <c r="Q23" s="39">
        <v>-61090428</v>
      </c>
      <c r="R23" s="34"/>
      <c r="S23" s="39">
        <v>-71251</v>
      </c>
      <c r="T23" s="39">
        <v>-550954</v>
      </c>
      <c r="U23" s="39">
        <v>-220591</v>
      </c>
      <c r="V23" s="39">
        <v>-982206.08000557905</v>
      </c>
      <c r="W23" s="39">
        <f>-896404.199446499</f>
        <v>-896404.199446499</v>
      </c>
      <c r="X23" s="39">
        <v>-1428826</v>
      </c>
      <c r="Y23" s="39">
        <v>-863221</v>
      </c>
      <c r="Z23" s="40">
        <v>-2738520</v>
      </c>
      <c r="AA23" s="40">
        <v>-2417566</v>
      </c>
      <c r="AB23" s="39">
        <v>-5467946</v>
      </c>
      <c r="AC23" s="39">
        <v>-3094256</v>
      </c>
      <c r="AD23" s="39">
        <v>-7114448.4973502196</v>
      </c>
      <c r="AE23" s="39">
        <v>-5012698</v>
      </c>
      <c r="AF23" s="4"/>
      <c r="AG23" s="4"/>
      <c r="AH23" s="4"/>
    </row>
    <row r="24" spans="2:45" s="40" customFormat="1">
      <c r="B24" s="38" t="s">
        <v>1185</v>
      </c>
      <c r="C24" s="39"/>
      <c r="D24" s="39"/>
      <c r="E24" s="39"/>
      <c r="F24" s="39"/>
      <c r="G24" s="39"/>
      <c r="H24" s="39"/>
      <c r="I24" s="39"/>
      <c r="J24" s="39"/>
      <c r="K24" s="39"/>
      <c r="L24" s="39">
        <v>-1126820</v>
      </c>
      <c r="M24" s="39">
        <v>-1657967</v>
      </c>
      <c r="N24" s="39">
        <v>-2999312</v>
      </c>
      <c r="O24" s="39">
        <v>-1738137</v>
      </c>
      <c r="P24" s="39">
        <v>-4211722.62978213</v>
      </c>
      <c r="Q24" s="39">
        <v>-4029135</v>
      </c>
      <c r="R24" s="34"/>
      <c r="S24" s="39"/>
      <c r="T24" s="39"/>
      <c r="U24" s="39"/>
      <c r="V24" s="39"/>
      <c r="W24" s="39"/>
      <c r="X24" s="39"/>
      <c r="Y24" s="39"/>
      <c r="Z24" s="39">
        <v>-1126820</v>
      </c>
      <c r="AA24" s="39">
        <v>-1657967</v>
      </c>
      <c r="AB24" s="39">
        <v>-2999312</v>
      </c>
      <c r="AC24" s="39">
        <v>-1738137</v>
      </c>
      <c r="AD24" s="39">
        <v>-4211722.62978213</v>
      </c>
      <c r="AE24" s="39">
        <v>-4029135</v>
      </c>
      <c r="AF24" s="4"/>
      <c r="AG24" s="4"/>
      <c r="AH24" s="4"/>
    </row>
    <row r="25" spans="2:45" s="40" customFormat="1">
      <c r="B25" s="38" t="s">
        <v>86</v>
      </c>
      <c r="C25" s="39">
        <v>-1726534</v>
      </c>
      <c r="D25" s="39">
        <v>-3399198</v>
      </c>
      <c r="E25" s="39">
        <v>-1915174</v>
      </c>
      <c r="F25" s="39">
        <v>-3804346</v>
      </c>
      <c r="G25" s="39">
        <v>-1671539</v>
      </c>
      <c r="H25" s="39">
        <v>-3240165</v>
      </c>
      <c r="I25" s="39">
        <v>-1578539</v>
      </c>
      <c r="J25" s="39">
        <v>-2924806</v>
      </c>
      <c r="K25" s="39">
        <v>-1446634</v>
      </c>
      <c r="L25" s="40">
        <v>-2944221</v>
      </c>
      <c r="M25" s="40">
        <v>-1584482</v>
      </c>
      <c r="N25" s="40">
        <v>-3166724</v>
      </c>
      <c r="O25" s="40">
        <v>-1702313</v>
      </c>
      <c r="P25" s="40">
        <v>-3464574.87063176</v>
      </c>
      <c r="Q25" s="40">
        <v>-1929419</v>
      </c>
      <c r="R25" s="34"/>
      <c r="S25" s="39">
        <v>-1915174</v>
      </c>
      <c r="T25" s="39">
        <v>-3804346</v>
      </c>
      <c r="U25" s="39">
        <v>-1671539</v>
      </c>
      <c r="V25" s="39">
        <v>-3240165</v>
      </c>
      <c r="W25" s="39">
        <v>-1578539</v>
      </c>
      <c r="X25" s="39">
        <v>-2924806</v>
      </c>
      <c r="Y25" s="39">
        <v>-1446634</v>
      </c>
      <c r="Z25" s="40">
        <v>-2944221</v>
      </c>
      <c r="AA25" s="40">
        <v>-1584482</v>
      </c>
      <c r="AB25" s="40">
        <v>-3166724</v>
      </c>
      <c r="AC25" s="40">
        <v>-1702313</v>
      </c>
      <c r="AD25" s="40">
        <v>-3464574.87063176</v>
      </c>
      <c r="AE25" s="40">
        <v>-1929419</v>
      </c>
      <c r="AF25" s="4"/>
      <c r="AG25" s="4"/>
      <c r="AH25" s="4"/>
    </row>
    <row r="26" spans="2:45" s="40" customFormat="1">
      <c r="B26" s="38" t="s">
        <v>1238</v>
      </c>
      <c r="C26" s="39">
        <v>-2665267</v>
      </c>
      <c r="D26" s="39">
        <v>-3443421</v>
      </c>
      <c r="E26" s="39">
        <v>-1793924</v>
      </c>
      <c r="F26" s="39">
        <v>-3531063</v>
      </c>
      <c r="G26" s="39">
        <v>-1671993</v>
      </c>
      <c r="H26" s="39">
        <v>-3215294</v>
      </c>
      <c r="I26" s="39">
        <v>-1966249</v>
      </c>
      <c r="J26" s="39">
        <v>-4861131</v>
      </c>
      <c r="K26" s="39">
        <f>-2523368+285051</f>
        <v>-2238317</v>
      </c>
      <c r="L26" s="40">
        <f>-5500153+616325</f>
        <v>-4883828</v>
      </c>
      <c r="M26" s="40">
        <v>-2792380</v>
      </c>
      <c r="N26" s="40">
        <v>-4739220</v>
      </c>
      <c r="O26" s="40">
        <v>-1854831</v>
      </c>
      <c r="P26" s="40">
        <v>-3349788.1080334201</v>
      </c>
      <c r="Q26" s="40">
        <v>-2183437</v>
      </c>
      <c r="R26" s="34"/>
      <c r="S26" s="39">
        <v>-1793924</v>
      </c>
      <c r="T26" s="39">
        <v>-3531063</v>
      </c>
      <c r="U26" s="39">
        <v>-1671993</v>
      </c>
      <c r="V26" s="39">
        <v>-3215294</v>
      </c>
      <c r="W26" s="39">
        <v>-1966249</v>
      </c>
      <c r="X26" s="39">
        <v>-4861131</v>
      </c>
      <c r="Y26" s="39">
        <f>-2523368+285051</f>
        <v>-2238317</v>
      </c>
      <c r="Z26" s="40">
        <v>-4883828</v>
      </c>
      <c r="AA26" s="40">
        <v>-2792380</v>
      </c>
      <c r="AB26" s="40">
        <v>-4739220</v>
      </c>
      <c r="AC26" s="40">
        <v>-1854831</v>
      </c>
      <c r="AD26" s="40">
        <v>-3349788.1080334201</v>
      </c>
      <c r="AE26" s="40">
        <v>-2183437</v>
      </c>
      <c r="AF26" s="4"/>
      <c r="AG26" s="4"/>
      <c r="AH26" s="4"/>
    </row>
    <row r="27" spans="2:45" s="40" customFormat="1">
      <c r="B27" s="38" t="s">
        <v>90</v>
      </c>
      <c r="C27" s="39">
        <v>-582518</v>
      </c>
      <c r="D27" s="39">
        <v>-1278960</v>
      </c>
      <c r="E27" s="39">
        <v>-807632</v>
      </c>
      <c r="F27" s="39">
        <v>-1551342</v>
      </c>
      <c r="G27" s="39">
        <v>-844688</v>
      </c>
      <c r="H27" s="39">
        <v>-1797235</v>
      </c>
      <c r="I27" s="39">
        <v>-876882</v>
      </c>
      <c r="J27" s="39">
        <v>-1790229</v>
      </c>
      <c r="K27" s="39">
        <v>-797015</v>
      </c>
      <c r="L27" s="39">
        <v>-1659216</v>
      </c>
      <c r="M27" s="39">
        <v>-886873</v>
      </c>
      <c r="N27" s="39">
        <v>-1851953</v>
      </c>
      <c r="O27" s="39">
        <v>-1090228</v>
      </c>
      <c r="P27" s="39">
        <v>-2251665.9362915698</v>
      </c>
      <c r="Q27" s="39">
        <v>-1773635</v>
      </c>
      <c r="R27" s="34"/>
      <c r="S27" s="39">
        <v>-807632</v>
      </c>
      <c r="T27" s="39">
        <v>-1551342</v>
      </c>
      <c r="U27" s="39">
        <v>-844688</v>
      </c>
      <c r="V27" s="39">
        <v>-1797235</v>
      </c>
      <c r="W27" s="39">
        <v>-876882</v>
      </c>
      <c r="X27" s="39">
        <v>-1790229</v>
      </c>
      <c r="Y27" s="39">
        <v>-797015</v>
      </c>
      <c r="Z27" s="39">
        <v>-1659216</v>
      </c>
      <c r="AA27" s="39">
        <v>-886873</v>
      </c>
      <c r="AB27" s="39">
        <v>-1851953</v>
      </c>
      <c r="AC27" s="39">
        <v>-1090228</v>
      </c>
      <c r="AD27" s="39">
        <v>-2251665.9362915698</v>
      </c>
      <c r="AE27" s="39">
        <v>-1773635</v>
      </c>
      <c r="AF27" s="4"/>
      <c r="AG27" s="4"/>
      <c r="AH27" s="4"/>
    </row>
    <row r="28" spans="2:45" s="40" customFormat="1" ht="25.5">
      <c r="B28" s="38" t="s">
        <v>1239</v>
      </c>
      <c r="C28" s="39">
        <v>-23031</v>
      </c>
      <c r="D28" s="39">
        <v>-129225</v>
      </c>
      <c r="E28" s="39">
        <v>121751</v>
      </c>
      <c r="F28" s="39">
        <v>97118</v>
      </c>
      <c r="G28" s="39">
        <v>-88861</v>
      </c>
      <c r="H28" s="39">
        <v>-400437</v>
      </c>
      <c r="I28" s="39">
        <v>-369633</v>
      </c>
      <c r="J28" s="39">
        <v>-584127</v>
      </c>
      <c r="K28" s="39">
        <v>-79336</v>
      </c>
      <c r="L28" s="39">
        <v>-28580</v>
      </c>
      <c r="M28" s="39"/>
      <c r="N28" s="39">
        <v>-2627035</v>
      </c>
      <c r="O28" s="39">
        <v>-272200.50438509998</v>
      </c>
      <c r="P28" s="39">
        <v>1191568.6417604999</v>
      </c>
      <c r="Q28" s="39">
        <v>-132940</v>
      </c>
      <c r="R28" s="34"/>
      <c r="S28" s="39">
        <v>121751</v>
      </c>
      <c r="T28" s="39">
        <v>97118</v>
      </c>
      <c r="U28" s="39">
        <v>-88861</v>
      </c>
      <c r="V28" s="39">
        <v>-400437</v>
      </c>
      <c r="W28" s="39">
        <v>-369633</v>
      </c>
      <c r="X28" s="39">
        <v>-584127</v>
      </c>
      <c r="Y28" s="39">
        <v>-79336</v>
      </c>
      <c r="Z28" s="39">
        <v>-28580</v>
      </c>
      <c r="AA28" s="39"/>
      <c r="AB28" s="39">
        <v>-2627035</v>
      </c>
      <c r="AC28" s="39">
        <v>-272201</v>
      </c>
      <c r="AD28" s="39">
        <v>1191569</v>
      </c>
      <c r="AE28" s="39">
        <v>-132940</v>
      </c>
      <c r="AF28" s="4"/>
      <c r="AG28" s="4"/>
      <c r="AH28" s="4"/>
    </row>
    <row r="29" spans="2:45" s="40" customFormat="1" collapsed="1">
      <c r="B29" s="38" t="s">
        <v>46</v>
      </c>
      <c r="C29" s="39">
        <f>-2864036</f>
        <v>-2864036</v>
      </c>
      <c r="D29" s="39">
        <v>-5932642</v>
      </c>
      <c r="E29" s="39">
        <v>-2535412</v>
      </c>
      <c r="F29" s="39">
        <v>-5532323</v>
      </c>
      <c r="G29" s="39">
        <v>-2955062</v>
      </c>
      <c r="H29" s="39">
        <v>-5843862</v>
      </c>
      <c r="I29" s="39">
        <v>-1584234</v>
      </c>
      <c r="J29" s="39">
        <v>-4890497</v>
      </c>
      <c r="K29" s="39">
        <f>-2644225+57307</f>
        <v>-2586918</v>
      </c>
      <c r="L29" s="39">
        <f>-9256217+128794+1126820</f>
        <v>-8000603</v>
      </c>
      <c r="M29" s="39">
        <f>-4004587</f>
        <v>-4004587</v>
      </c>
      <c r="N29" s="39">
        <v>-8664212</v>
      </c>
      <c r="O29" s="39">
        <v>-2850444.3738420801</v>
      </c>
      <c r="P29" s="39">
        <v>-7070400.0836274503</v>
      </c>
      <c r="Q29" s="39">
        <v>-4662993</v>
      </c>
      <c r="R29" s="34"/>
      <c r="S29" s="39">
        <v>-2535412</v>
      </c>
      <c r="T29" s="39">
        <v>-5532323</v>
      </c>
      <c r="U29" s="39">
        <v>-2955062</v>
      </c>
      <c r="V29" s="39">
        <v>-5843860</v>
      </c>
      <c r="W29" s="39">
        <v>-1584234</v>
      </c>
      <c r="X29" s="39">
        <v>-4890497</v>
      </c>
      <c r="Y29" s="39">
        <f>-2644225+57307</f>
        <v>-2586918</v>
      </c>
      <c r="Z29" s="40">
        <v>-7963704</v>
      </c>
      <c r="AA29" s="40">
        <f>-3949198</f>
        <v>-3949198</v>
      </c>
      <c r="AB29" s="39">
        <v>-8664212</v>
      </c>
      <c r="AC29" s="39">
        <v>-2850444</v>
      </c>
      <c r="AD29" s="39">
        <v>-7071811</v>
      </c>
      <c r="AE29" s="39">
        <v>-4665672</v>
      </c>
      <c r="AF29" s="4"/>
      <c r="AG29" s="4"/>
      <c r="AH29" s="4"/>
    </row>
    <row r="30" spans="2:45" s="40" customFormat="1" hidden="1" outlineLevel="1">
      <c r="B30" s="38" t="s">
        <v>85</v>
      </c>
      <c r="C30" s="39">
        <v>-12235227.871134199</v>
      </c>
      <c r="D30" s="39">
        <v>-24068866.997088499</v>
      </c>
      <c r="E30" s="39">
        <v>-12069716</v>
      </c>
      <c r="F30" s="39">
        <v>-24210938</v>
      </c>
      <c r="G30" s="39">
        <v>-12861757</v>
      </c>
      <c r="H30" s="39">
        <v>-26159360</v>
      </c>
      <c r="I30" s="39"/>
      <c r="J30" s="39"/>
      <c r="K30" s="39"/>
      <c r="L30" s="39"/>
      <c r="M30" s="39"/>
      <c r="N30" s="39"/>
      <c r="O30" s="39"/>
      <c r="P30" s="39"/>
      <c r="Q30" s="39"/>
      <c r="R30" s="34"/>
      <c r="S30" s="39">
        <v>-12069716</v>
      </c>
      <c r="T30" s="39">
        <v>-24210938</v>
      </c>
      <c r="U30" s="39">
        <v>-12861757</v>
      </c>
      <c r="V30" s="39">
        <v>-26159360</v>
      </c>
      <c r="W30" s="39"/>
      <c r="X30" s="39"/>
      <c r="Y30" s="39"/>
      <c r="AB30" s="39"/>
      <c r="AC30" s="39"/>
      <c r="AD30" s="39"/>
      <c r="AE30" s="39"/>
      <c r="AF30" s="4"/>
      <c r="AG30" s="4"/>
      <c r="AH30" s="4"/>
    </row>
    <row r="31" spans="2:45" s="40" customFormat="1" hidden="1" outlineLevel="1">
      <c r="B31" s="38" t="s">
        <v>89</v>
      </c>
      <c r="C31" s="39">
        <v>65938</v>
      </c>
      <c r="D31" s="39">
        <v>-34843</v>
      </c>
      <c r="E31" s="39">
        <v>-252791</v>
      </c>
      <c r="F31" s="39">
        <v>-600813</v>
      </c>
      <c r="G31" s="39">
        <v>-251793</v>
      </c>
      <c r="H31" s="39">
        <v>-681018</v>
      </c>
      <c r="I31" s="39"/>
      <c r="J31" s="39"/>
      <c r="K31" s="39"/>
      <c r="L31" s="39"/>
      <c r="M31" s="39"/>
      <c r="N31" s="39"/>
      <c r="O31" s="39"/>
      <c r="P31" s="39"/>
      <c r="Q31" s="39"/>
      <c r="R31" s="34"/>
      <c r="S31" s="39">
        <v>-252791</v>
      </c>
      <c r="T31" s="39">
        <v>-600813</v>
      </c>
      <c r="U31" s="39">
        <v>-251793</v>
      </c>
      <c r="V31" s="39">
        <v>-681018</v>
      </c>
      <c r="W31" s="39"/>
      <c r="X31" s="39"/>
      <c r="Y31" s="39"/>
      <c r="AB31" s="39"/>
      <c r="AC31" s="39"/>
      <c r="AD31" s="39"/>
      <c r="AE31" s="39"/>
      <c r="AF31" s="4"/>
      <c r="AG31" s="4"/>
      <c r="AH31" s="4"/>
    </row>
    <row r="32" spans="2:45" s="43" customFormat="1">
      <c r="B32" s="1351" t="s">
        <v>47</v>
      </c>
      <c r="C32" s="34">
        <v>3101492</v>
      </c>
      <c r="D32" s="34">
        <v>7759273</v>
      </c>
      <c r="E32" s="34">
        <v>3618323</v>
      </c>
      <c r="F32" s="34">
        <v>8710355</v>
      </c>
      <c r="G32" s="34">
        <v>6191366</v>
      </c>
      <c r="H32" s="34">
        <v>14411287</v>
      </c>
      <c r="I32" s="34">
        <v>5837069</v>
      </c>
      <c r="J32" s="34">
        <v>13905865</v>
      </c>
      <c r="K32" s="34">
        <v>9043081</v>
      </c>
      <c r="L32" s="34">
        <v>21852436</v>
      </c>
      <c r="M32" s="34">
        <v>12506287</v>
      </c>
      <c r="N32" s="34">
        <v>25496150</v>
      </c>
      <c r="O32" s="34">
        <v>11854144</v>
      </c>
      <c r="P32" s="34">
        <v>29294209</v>
      </c>
      <c r="Q32" s="34">
        <v>15114036</v>
      </c>
      <c r="R32" s="34"/>
      <c r="S32" s="34">
        <v>4505755</v>
      </c>
      <c r="T32" s="34">
        <v>10514534.920350002</v>
      </c>
      <c r="U32" s="34">
        <v>6790079</v>
      </c>
      <c r="V32" s="34">
        <v>16396467</v>
      </c>
      <c r="W32" s="34">
        <f>6767975+953796</f>
        <v>7721771</v>
      </c>
      <c r="X32" s="34">
        <v>17069195</v>
      </c>
      <c r="Y32" s="34">
        <v>10978155</v>
      </c>
      <c r="Z32" s="43">
        <v>24742259</v>
      </c>
      <c r="AA32" s="43">
        <v>13683016</v>
      </c>
      <c r="AB32" s="34">
        <v>26952525</v>
      </c>
      <c r="AC32" s="34">
        <v>12174408</v>
      </c>
      <c r="AD32" s="34">
        <v>30003582</v>
      </c>
      <c r="AE32" s="34">
        <v>15517533</v>
      </c>
      <c r="AF32" s="4"/>
      <c r="AG32" s="4"/>
      <c r="AH32" s="4"/>
      <c r="AS32" s="40"/>
    </row>
    <row r="33" spans="2:45" s="43" customFormat="1">
      <c r="B33" s="1351" t="s">
        <v>46</v>
      </c>
      <c r="C33" s="34">
        <f>(-372153)-277632</f>
        <v>-649785</v>
      </c>
      <c r="D33" s="34">
        <v>-735488</v>
      </c>
      <c r="E33" s="34">
        <v>-673474</v>
      </c>
      <c r="F33" s="34">
        <v>-907548</v>
      </c>
      <c r="G33" s="34">
        <v>-652386</v>
      </c>
      <c r="H33" s="34">
        <v>-1676061</v>
      </c>
      <c r="I33" s="34">
        <v>-445150</v>
      </c>
      <c r="J33" s="34">
        <v>-1135114</v>
      </c>
      <c r="K33" s="34">
        <v>-577595</v>
      </c>
      <c r="L33" s="34">
        <v>-2278726</v>
      </c>
      <c r="M33" s="34">
        <v>-5217879</v>
      </c>
      <c r="N33" s="34">
        <v>-6580221</v>
      </c>
      <c r="O33" s="34">
        <v>-914915</v>
      </c>
      <c r="P33" s="34">
        <v>-1460632</v>
      </c>
      <c r="Q33" s="34">
        <v>-738961</v>
      </c>
      <c r="R33" s="34"/>
      <c r="S33" s="34">
        <v>-647561</v>
      </c>
      <c r="T33" s="34">
        <v>-907548</v>
      </c>
      <c r="U33" s="34">
        <v>-652386</v>
      </c>
      <c r="V33" s="34">
        <v>-1676061</v>
      </c>
      <c r="W33" s="34">
        <v>-445150</v>
      </c>
      <c r="X33" s="34">
        <v>-1129018</v>
      </c>
      <c r="Y33" s="34">
        <v>-577682</v>
      </c>
      <c r="Z33" s="43">
        <v>-2258726</v>
      </c>
      <c r="AA33" s="43">
        <v>-5141623</v>
      </c>
      <c r="AB33" s="34">
        <v>-6471668</v>
      </c>
      <c r="AC33" s="34">
        <v>-913717</v>
      </c>
      <c r="AD33" s="34">
        <v>-1456193</v>
      </c>
      <c r="AE33" s="34">
        <v>-735146</v>
      </c>
      <c r="AF33" s="4"/>
      <c r="AG33" s="4"/>
      <c r="AH33" s="4"/>
      <c r="AS33" s="40"/>
    </row>
    <row r="34" spans="2:45" s="43" customFormat="1">
      <c r="B34" s="1351" t="s">
        <v>1092</v>
      </c>
      <c r="C34" s="34"/>
      <c r="D34" s="34"/>
      <c r="E34" s="34">
        <v>1444048</v>
      </c>
      <c r="F34" s="34">
        <v>2942620</v>
      </c>
      <c r="G34" s="34">
        <v>1561208</v>
      </c>
      <c r="H34" s="34">
        <v>3143997</v>
      </c>
      <c r="I34" s="34">
        <v>1550186</v>
      </c>
      <c r="J34" s="34">
        <v>3153243</v>
      </c>
      <c r="K34" s="34">
        <v>1703361</v>
      </c>
      <c r="L34" s="34">
        <v>4126138</v>
      </c>
      <c r="M34" s="34">
        <v>2400692</v>
      </c>
      <c r="N34" s="34">
        <v>4704236</v>
      </c>
      <c r="O34" s="34">
        <v>2483921</v>
      </c>
      <c r="P34" s="34">
        <v>5029969</v>
      </c>
      <c r="Q34" s="34">
        <v>2520569</v>
      </c>
      <c r="R34" s="34"/>
      <c r="S34" s="34">
        <v>1444048</v>
      </c>
      <c r="T34" s="34">
        <v>2942620</v>
      </c>
      <c r="U34" s="34">
        <v>1561208</v>
      </c>
      <c r="V34" s="34">
        <v>3143997</v>
      </c>
      <c r="W34" s="34">
        <v>1550186</v>
      </c>
      <c r="X34" s="34">
        <v>3153243</v>
      </c>
      <c r="Y34" s="34">
        <v>1703361</v>
      </c>
      <c r="Z34" s="43">
        <v>4110784</v>
      </c>
      <c r="AA34" s="43">
        <v>2383586</v>
      </c>
      <c r="AB34" s="34">
        <v>4674825</v>
      </c>
      <c r="AC34" s="34">
        <v>2481896</v>
      </c>
      <c r="AD34" s="34">
        <v>5027525</v>
      </c>
      <c r="AE34" s="34">
        <v>2520569</v>
      </c>
      <c r="AF34" s="4"/>
      <c r="AG34" s="4"/>
      <c r="AH34" s="4"/>
      <c r="AS34" s="40"/>
    </row>
    <row r="35" spans="2:45" s="43" customFormat="1">
      <c r="B35" s="41" t="s">
        <v>184</v>
      </c>
      <c r="C35" s="42">
        <f t="shared" ref="C35:Q35" si="24">SUM(C14,C16,C32,C33,C34)</f>
        <v>32287884.000000328</v>
      </c>
      <c r="D35" s="42">
        <f t="shared" si="24"/>
        <v>57928258.006769776</v>
      </c>
      <c r="E35" s="42">
        <f t="shared" si="24"/>
        <v>27326629.94183141</v>
      </c>
      <c r="F35" s="42">
        <f t="shared" si="24"/>
        <v>53040025.223070502</v>
      </c>
      <c r="G35" s="42">
        <f t="shared" si="24"/>
        <v>19773242.134468615</v>
      </c>
      <c r="H35" s="42">
        <f t="shared" si="24"/>
        <v>36324011.15980196</v>
      </c>
      <c r="I35" s="42">
        <f t="shared" si="24"/>
        <v>30137034.693493962</v>
      </c>
      <c r="J35" s="42">
        <f t="shared" si="24"/>
        <v>63493340.128501892</v>
      </c>
      <c r="K35" s="42">
        <f t="shared" si="24"/>
        <v>34694712</v>
      </c>
      <c r="L35" s="42">
        <f t="shared" si="24"/>
        <v>79759123</v>
      </c>
      <c r="M35" s="42">
        <f t="shared" si="24"/>
        <v>49576742</v>
      </c>
      <c r="N35" s="42">
        <f t="shared" si="24"/>
        <v>64776114</v>
      </c>
      <c r="O35" s="42">
        <f t="shared" si="24"/>
        <v>48996320.049241513</v>
      </c>
      <c r="P35" s="42">
        <f t="shared" si="24"/>
        <v>97643340.87373054</v>
      </c>
      <c r="Q35" s="42">
        <f t="shared" si="24"/>
        <v>44140738</v>
      </c>
      <c r="R35" s="34"/>
      <c r="S35" s="42">
        <f t="shared" ref="S35:AE35" si="25">SUM(S14,S16,S32,S33,S34)</f>
        <v>37424093.94183141</v>
      </c>
      <c r="T35" s="42">
        <f t="shared" si="25"/>
        <v>71808801.310057506</v>
      </c>
      <c r="U35" s="42">
        <f t="shared" si="25"/>
        <v>28617739.134468615</v>
      </c>
      <c r="V35" s="42">
        <f t="shared" si="25"/>
        <v>59215692.15980196</v>
      </c>
      <c r="W35" s="42">
        <f t="shared" si="25"/>
        <v>42772227.842064559</v>
      </c>
      <c r="X35" s="42">
        <f t="shared" si="25"/>
        <v>88423644.128501892</v>
      </c>
      <c r="Y35" s="42">
        <f t="shared" si="25"/>
        <v>49106656</v>
      </c>
      <c r="Z35" s="42">
        <f t="shared" si="25"/>
        <v>108912352</v>
      </c>
      <c r="AA35" s="42">
        <f t="shared" si="25"/>
        <v>66113670</v>
      </c>
      <c r="AB35" s="42">
        <f t="shared" si="25"/>
        <v>98016523.267655492</v>
      </c>
      <c r="AC35" s="42">
        <f t="shared" si="25"/>
        <v>67096018</v>
      </c>
      <c r="AD35" s="42">
        <f t="shared" si="25"/>
        <v>135516932.10776007</v>
      </c>
      <c r="AE35" s="42">
        <f t="shared" si="25"/>
        <v>66384287</v>
      </c>
      <c r="AF35" s="4"/>
      <c r="AG35" s="4"/>
      <c r="AH35" s="4"/>
      <c r="AS35" s="40"/>
    </row>
    <row r="36" spans="2:45">
      <c r="B36" s="36" t="s">
        <v>65</v>
      </c>
      <c r="C36" s="37">
        <v>51947</v>
      </c>
      <c r="D36" s="37">
        <v>340714</v>
      </c>
      <c r="E36" s="37">
        <v>98171</v>
      </c>
      <c r="F36" s="37">
        <v>210316</v>
      </c>
      <c r="G36" s="37">
        <v>163375</v>
      </c>
      <c r="H36" s="37">
        <v>272595</v>
      </c>
      <c r="I36" s="37">
        <v>330581</v>
      </c>
      <c r="J36" s="37">
        <v>504476</v>
      </c>
      <c r="K36" s="37">
        <v>921279</v>
      </c>
      <c r="L36" s="37">
        <v>2547456</v>
      </c>
      <c r="M36" s="37">
        <v>5246651</v>
      </c>
      <c r="N36" s="37">
        <v>13337582</v>
      </c>
      <c r="O36" s="37">
        <v>11110233</v>
      </c>
      <c r="P36" s="37">
        <v>24202277</v>
      </c>
      <c r="Q36" s="37">
        <v>9090750</v>
      </c>
      <c r="R36" s="34"/>
      <c r="S36" s="37">
        <v>98171</v>
      </c>
      <c r="T36" s="37">
        <v>210316</v>
      </c>
      <c r="U36" s="37">
        <v>163375</v>
      </c>
      <c r="V36" s="37">
        <v>272595</v>
      </c>
      <c r="W36" s="37">
        <v>330581</v>
      </c>
      <c r="X36" s="37">
        <v>504476</v>
      </c>
      <c r="Y36" s="37">
        <v>921279</v>
      </c>
      <c r="Z36" s="4">
        <v>2547456</v>
      </c>
      <c r="AA36" s="4">
        <v>5246651</v>
      </c>
      <c r="AB36" s="37">
        <v>13337582</v>
      </c>
      <c r="AC36" s="37">
        <v>11110233</v>
      </c>
      <c r="AD36" s="37">
        <v>24202277</v>
      </c>
      <c r="AE36" s="37">
        <v>9090750</v>
      </c>
    </row>
    <row r="37" spans="2:45" s="46" customFormat="1">
      <c r="B37" s="36" t="s">
        <v>66</v>
      </c>
      <c r="C37" s="37">
        <v>-6332376</v>
      </c>
      <c r="D37" s="37">
        <v>-12978882</v>
      </c>
      <c r="E37" s="37">
        <v>-4362661</v>
      </c>
      <c r="F37" s="37">
        <v>-9136262</v>
      </c>
      <c r="G37" s="37">
        <v>-7605629</v>
      </c>
      <c r="H37" s="37">
        <v>-15367447</v>
      </c>
      <c r="I37" s="37">
        <v>-7604426</v>
      </c>
      <c r="J37" s="37">
        <v>-14001696</v>
      </c>
      <c r="K37" s="37">
        <v>-6291989</v>
      </c>
      <c r="L37" s="37">
        <v>-15512967</v>
      </c>
      <c r="M37" s="37">
        <v>-11838243</v>
      </c>
      <c r="N37" s="37">
        <v>-27285062</v>
      </c>
      <c r="O37" s="37">
        <v>-19085535</v>
      </c>
      <c r="P37" s="37">
        <v>-38019630</v>
      </c>
      <c r="Q37" s="37">
        <v>-18014531</v>
      </c>
      <c r="R37" s="34"/>
      <c r="S37" s="37">
        <v>-18639856</v>
      </c>
      <c r="T37" s="37">
        <v>-39541807.325880803</v>
      </c>
      <c r="U37" s="37">
        <v>-23714774</v>
      </c>
      <c r="V37" s="37">
        <v>-47781649</v>
      </c>
      <c r="W37" s="37">
        <f>-23265342-58918</f>
        <v>-23324260</v>
      </c>
      <c r="X37" s="37">
        <v>-44772274</v>
      </c>
      <c r="Y37" s="37">
        <v>-21522759</v>
      </c>
      <c r="Z37" s="37">
        <v>-49125469</v>
      </c>
      <c r="AA37" s="37">
        <v>-31945743</v>
      </c>
      <c r="AB37" s="37">
        <v>-68156279</v>
      </c>
      <c r="AC37" s="37">
        <v>-41371266</v>
      </c>
      <c r="AD37" s="37">
        <v>-85232484</v>
      </c>
      <c r="AE37" s="37">
        <v>-46476957</v>
      </c>
      <c r="AF37" s="4"/>
      <c r="AG37" s="4"/>
      <c r="AH37" s="4"/>
    </row>
    <row r="38" spans="2:45">
      <c r="B38" s="36" t="s">
        <v>139</v>
      </c>
      <c r="C38" s="37">
        <v>54433</v>
      </c>
      <c r="D38" s="37">
        <v>133680</v>
      </c>
      <c r="E38" s="37">
        <v>-702738</v>
      </c>
      <c r="F38" s="37">
        <v>-1415310</v>
      </c>
      <c r="G38" s="37">
        <v>640754</v>
      </c>
      <c r="H38" s="37">
        <v>780563</v>
      </c>
      <c r="I38" s="37">
        <v>-824271</v>
      </c>
      <c r="J38" s="37">
        <v>-1310091</v>
      </c>
      <c r="K38" s="37">
        <v>444168</v>
      </c>
      <c r="L38" s="37">
        <v>302391</v>
      </c>
      <c r="M38" s="37">
        <v>-2111415</v>
      </c>
      <c r="N38" s="37">
        <v>-267447</v>
      </c>
      <c r="O38" s="37">
        <v>6077083</v>
      </c>
      <c r="P38" s="37">
        <v>8228969</v>
      </c>
      <c r="Q38" s="37">
        <v>-4963871</v>
      </c>
      <c r="R38" s="34"/>
      <c r="S38" s="37">
        <v>-702738</v>
      </c>
      <c r="T38" s="37">
        <v>-1523134.6330613515</v>
      </c>
      <c r="U38" s="37">
        <v>640754</v>
      </c>
      <c r="V38" s="37">
        <v>872834</v>
      </c>
      <c r="W38" s="37">
        <v>-920071</v>
      </c>
      <c r="X38" s="37">
        <v>-1453331</v>
      </c>
      <c r="Y38" s="37">
        <v>454235</v>
      </c>
      <c r="Z38" s="4">
        <v>280745</v>
      </c>
      <c r="AA38" s="4">
        <v>-1906419</v>
      </c>
      <c r="AB38" s="37">
        <v>-333276</v>
      </c>
      <c r="AC38" s="37">
        <v>6136934</v>
      </c>
      <c r="AD38" s="37">
        <v>8249073</v>
      </c>
      <c r="AE38" s="37">
        <v>-4969633</v>
      </c>
    </row>
    <row r="39" spans="2:45" s="43" customFormat="1">
      <c r="B39" s="41" t="s">
        <v>99</v>
      </c>
      <c r="C39" s="42">
        <f t="shared" ref="C39:Q39" si="26">C35+C36+C37+C38</f>
        <v>26061888.000000328</v>
      </c>
      <c r="D39" s="42">
        <f t="shared" si="26"/>
        <v>45423770.006769776</v>
      </c>
      <c r="E39" s="42">
        <f t="shared" si="26"/>
        <v>22359401.94183141</v>
      </c>
      <c r="F39" s="42">
        <f t="shared" si="26"/>
        <v>42698769.223070502</v>
      </c>
      <c r="G39" s="42">
        <f t="shared" si="26"/>
        <v>12971742.134468615</v>
      </c>
      <c r="H39" s="42">
        <f t="shared" si="26"/>
        <v>22009722.15980196</v>
      </c>
      <c r="I39" s="42">
        <f t="shared" si="26"/>
        <v>22038918.693493962</v>
      </c>
      <c r="J39" s="42">
        <f t="shared" si="26"/>
        <v>48686029.128501892</v>
      </c>
      <c r="K39" s="42">
        <f t="shared" si="26"/>
        <v>29768170</v>
      </c>
      <c r="L39" s="42">
        <f t="shared" si="26"/>
        <v>67096003</v>
      </c>
      <c r="M39" s="42">
        <f t="shared" si="26"/>
        <v>40873735</v>
      </c>
      <c r="N39" s="42">
        <f t="shared" si="26"/>
        <v>50561187</v>
      </c>
      <c r="O39" s="42">
        <f t="shared" si="26"/>
        <v>47098101.049241513</v>
      </c>
      <c r="P39" s="42">
        <f t="shared" si="26"/>
        <v>92054956.87373054</v>
      </c>
      <c r="Q39" s="42">
        <f t="shared" si="26"/>
        <v>30253086</v>
      </c>
      <c r="R39" s="34"/>
      <c r="S39" s="42">
        <f t="shared" ref="S39:AE39" si="27">S35+S36+S37+S38</f>
        <v>18179670.94183141</v>
      </c>
      <c r="T39" s="42">
        <f t="shared" si="27"/>
        <v>30954175.35111535</v>
      </c>
      <c r="U39" s="42">
        <f t="shared" si="27"/>
        <v>5707094.1344686151</v>
      </c>
      <c r="V39" s="42">
        <f t="shared" si="27"/>
        <v>12579472.15980196</v>
      </c>
      <c r="W39" s="42">
        <f t="shared" si="27"/>
        <v>18858477.842064559</v>
      </c>
      <c r="X39" s="42">
        <f t="shared" si="27"/>
        <v>42702515.128501892</v>
      </c>
      <c r="Y39" s="42">
        <f t="shared" si="27"/>
        <v>28959411</v>
      </c>
      <c r="Z39" s="42">
        <f t="shared" si="27"/>
        <v>62615084</v>
      </c>
      <c r="AA39" s="42">
        <f t="shared" si="27"/>
        <v>37508159</v>
      </c>
      <c r="AB39" s="42">
        <f t="shared" si="27"/>
        <v>42864550.267655492</v>
      </c>
      <c r="AC39" s="42">
        <f t="shared" si="27"/>
        <v>42971919</v>
      </c>
      <c r="AD39" s="42">
        <f t="shared" si="27"/>
        <v>82735798.107760072</v>
      </c>
      <c r="AE39" s="42">
        <f t="shared" si="27"/>
        <v>24028447</v>
      </c>
      <c r="AF39" s="4"/>
      <c r="AG39" s="4"/>
      <c r="AH39" s="4"/>
    </row>
    <row r="40" spans="2:45">
      <c r="B40" s="36" t="s">
        <v>50</v>
      </c>
      <c r="C40" s="37">
        <v>-5313441</v>
      </c>
      <c r="D40" s="37">
        <v>-9884798</v>
      </c>
      <c r="E40" s="37">
        <v>-4676382.3883662811</v>
      </c>
      <c r="F40" s="37">
        <v>-9132825.844614109</v>
      </c>
      <c r="G40" s="37">
        <v>-3387801.826893724</v>
      </c>
      <c r="H40" s="37">
        <v>-4901300</v>
      </c>
      <c r="I40" s="37">
        <v>-4994857</v>
      </c>
      <c r="J40" s="37">
        <v>-10904558</v>
      </c>
      <c r="K40" s="37">
        <v>-6819995</v>
      </c>
      <c r="L40" s="37">
        <f>-15386512-3073</f>
        <v>-15389585</v>
      </c>
      <c r="M40" s="37">
        <v>-8838467</v>
      </c>
      <c r="N40" s="37">
        <v>-16474890</v>
      </c>
      <c r="O40" s="37">
        <v>-9781299</v>
      </c>
      <c r="P40" s="37">
        <v>-25918093</v>
      </c>
      <c r="Q40" s="37">
        <v>-7818297</v>
      </c>
      <c r="R40" s="34"/>
      <c r="S40" s="37">
        <v>-3840436.3883662811</v>
      </c>
      <c r="T40" s="37">
        <v>-6783907.2256089803</v>
      </c>
      <c r="U40" s="37">
        <v>-1934872.826893724</v>
      </c>
      <c r="V40" s="37">
        <v>-3015250</v>
      </c>
      <c r="W40" s="37">
        <f>-4176629-182141</f>
        <v>-4358770</v>
      </c>
      <c r="X40" s="37">
        <v>-9709223</v>
      </c>
      <c r="Y40" s="37">
        <v>-6659710</v>
      </c>
      <c r="Z40" s="4">
        <f>-14493857-3073</f>
        <v>-14496930</v>
      </c>
      <c r="AA40" s="4">
        <v>-8165582</v>
      </c>
      <c r="AB40" s="37">
        <v>-14932033</v>
      </c>
      <c r="AC40" s="37">
        <v>-8955998</v>
      </c>
      <c r="AD40" s="37">
        <v>-24058197</v>
      </c>
      <c r="AE40" s="37">
        <v>-6574210</v>
      </c>
    </row>
    <row r="41" spans="2:45" s="43" customFormat="1">
      <c r="B41" s="41" t="s">
        <v>186</v>
      </c>
      <c r="C41" s="42">
        <f t="shared" ref="C41:N41" si="28">C39+C40</f>
        <v>20748447.000000328</v>
      </c>
      <c r="D41" s="42">
        <f t="shared" si="28"/>
        <v>35538972.006769776</v>
      </c>
      <c r="E41" s="42">
        <f t="shared" si="28"/>
        <v>17683019.553465128</v>
      </c>
      <c r="F41" s="42">
        <f t="shared" si="28"/>
        <v>33565943.378456391</v>
      </c>
      <c r="G41" s="42">
        <f t="shared" si="28"/>
        <v>9583940.3075748906</v>
      </c>
      <c r="H41" s="42">
        <f t="shared" si="28"/>
        <v>17108422.15980196</v>
      </c>
      <c r="I41" s="42">
        <f t="shared" si="28"/>
        <v>17044061.693493962</v>
      </c>
      <c r="J41" s="42">
        <f t="shared" si="28"/>
        <v>37781471.128501892</v>
      </c>
      <c r="K41" s="42">
        <f t="shared" si="28"/>
        <v>22948175</v>
      </c>
      <c r="L41" s="42">
        <f t="shared" si="28"/>
        <v>51706418</v>
      </c>
      <c r="M41" s="42">
        <f t="shared" si="28"/>
        <v>32035268</v>
      </c>
      <c r="N41" s="42">
        <f t="shared" si="28"/>
        <v>34086297</v>
      </c>
      <c r="O41" s="42">
        <f t="shared" ref="O41:P41" si="29">O39+O40</f>
        <v>37316802.049241513</v>
      </c>
      <c r="P41" s="42">
        <f t="shared" si="29"/>
        <v>66136863.87373054</v>
      </c>
      <c r="Q41" s="42">
        <f t="shared" ref="Q41" si="30">Q39+Q40</f>
        <v>22434789</v>
      </c>
      <c r="R41" s="34"/>
      <c r="S41" s="42">
        <f t="shared" ref="S41:AB41" si="31">S39+S40</f>
        <v>14339234.553465128</v>
      </c>
      <c r="T41" s="42">
        <f t="shared" si="31"/>
        <v>24170268.125506371</v>
      </c>
      <c r="U41" s="42">
        <f t="shared" si="31"/>
        <v>3772221.307574891</v>
      </c>
      <c r="V41" s="42">
        <f t="shared" si="31"/>
        <v>9564222.15980196</v>
      </c>
      <c r="W41" s="42">
        <f t="shared" si="31"/>
        <v>14499707.842064559</v>
      </c>
      <c r="X41" s="42">
        <f t="shared" si="31"/>
        <v>32993292.128501892</v>
      </c>
      <c r="Y41" s="42">
        <f t="shared" si="31"/>
        <v>22299701</v>
      </c>
      <c r="Z41" s="42">
        <f t="shared" si="31"/>
        <v>48118154</v>
      </c>
      <c r="AA41" s="42">
        <f t="shared" si="31"/>
        <v>29342577</v>
      </c>
      <c r="AB41" s="42">
        <f t="shared" si="31"/>
        <v>27932517.267655492</v>
      </c>
      <c r="AC41" s="42">
        <f t="shared" ref="AC41:AD41" si="32">AC39+AC40</f>
        <v>34015921</v>
      </c>
      <c r="AD41" s="42">
        <f t="shared" si="32"/>
        <v>58677601.107760072</v>
      </c>
      <c r="AE41" s="42">
        <f t="shared" ref="AE41" si="33">AE39+AE40</f>
        <v>17454237</v>
      </c>
      <c r="AF41" s="4"/>
      <c r="AG41" s="4"/>
      <c r="AH41" s="4"/>
    </row>
    <row r="42" spans="2:45">
      <c r="B42" s="44" t="s">
        <v>187</v>
      </c>
      <c r="C42" s="45">
        <f t="shared" ref="C42:Q42" si="34">C41/C7</f>
        <v>3.7382916522584367E-2</v>
      </c>
      <c r="D42" s="45">
        <f t="shared" si="34"/>
        <v>3.1084163596075548E-2</v>
      </c>
      <c r="E42" s="45">
        <f t="shared" si="34"/>
        <v>2.9706252448052344E-2</v>
      </c>
      <c r="F42" s="45">
        <f t="shared" si="34"/>
        <v>2.7134619206667189E-2</v>
      </c>
      <c r="G42" s="45">
        <f t="shared" si="34"/>
        <v>1.4567104332106723E-2</v>
      </c>
      <c r="H42" s="45">
        <f t="shared" si="34"/>
        <v>1.2499711210902469E-2</v>
      </c>
      <c r="I42" s="45">
        <f t="shared" si="34"/>
        <v>2.2327648911739433E-2</v>
      </c>
      <c r="J42" s="45">
        <f t="shared" si="34"/>
        <v>2.4315884834504357E-2</v>
      </c>
      <c r="K42" s="45">
        <f t="shared" si="34"/>
        <v>2.7909663757569782E-2</v>
      </c>
      <c r="L42" s="45">
        <f t="shared" si="34"/>
        <v>2.7857876411992066E-2</v>
      </c>
      <c r="M42" s="45">
        <f t="shared" si="34"/>
        <v>2.8193463333280627E-2</v>
      </c>
      <c r="N42" s="45">
        <f t="shared" si="34"/>
        <v>1.4492495254955582E-2</v>
      </c>
      <c r="O42" s="45">
        <f t="shared" si="34"/>
        <v>3.0352288024894737E-2</v>
      </c>
      <c r="P42" s="45">
        <f t="shared" si="34"/>
        <v>2.5990158226606982E-2</v>
      </c>
      <c r="Q42" s="45">
        <f t="shared" si="34"/>
        <v>1.536567992408128E-2</v>
      </c>
      <c r="R42" s="34"/>
      <c r="S42" s="45">
        <f t="shared" ref="S42:AE42" si="35">S41/S7</f>
        <v>2.4088924420919897E-2</v>
      </c>
      <c r="T42" s="45">
        <f t="shared" si="35"/>
        <v>1.9539180362486263E-2</v>
      </c>
      <c r="U42" s="45">
        <f t="shared" si="35"/>
        <v>5.7335855178280064E-3</v>
      </c>
      <c r="V42" s="45">
        <f t="shared" si="35"/>
        <v>6.9877872920001789E-3</v>
      </c>
      <c r="W42" s="45">
        <f t="shared" si="35"/>
        <v>1.8994556100673573E-2</v>
      </c>
      <c r="X42" s="45">
        <f t="shared" si="35"/>
        <v>2.1234247046102845E-2</v>
      </c>
      <c r="Y42" s="45">
        <f t="shared" si="35"/>
        <v>2.7120987041642425E-2</v>
      </c>
      <c r="Z42" s="45">
        <f t="shared" si="35"/>
        <v>2.5924626751464425E-2</v>
      </c>
      <c r="AA42" s="45">
        <f t="shared" si="35"/>
        <v>2.5823691212867754E-2</v>
      </c>
      <c r="AB42" s="45">
        <f t="shared" si="35"/>
        <v>1.1876088328411328E-2</v>
      </c>
      <c r="AC42" s="45">
        <f t="shared" si="35"/>
        <v>2.7667457416679971E-2</v>
      </c>
      <c r="AD42" s="45">
        <f t="shared" si="35"/>
        <v>2.3058851717856509E-2</v>
      </c>
      <c r="AE42" s="45">
        <f t="shared" si="35"/>
        <v>1.1954479226929954E-2</v>
      </c>
    </row>
    <row r="43" spans="2:45">
      <c r="B43" s="47"/>
      <c r="C43" s="47"/>
      <c r="D43" s="47"/>
      <c r="E43" s="35"/>
      <c r="F43" s="37"/>
      <c r="G43" s="48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4"/>
      <c r="S43" s="48"/>
      <c r="T43" s="37"/>
      <c r="U43" s="48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pans="2:45" s="43" customFormat="1">
      <c r="B44" s="41" t="s">
        <v>34</v>
      </c>
      <c r="C44" s="42">
        <f>C35-C18</f>
        <v>48735502.000000328</v>
      </c>
      <c r="D44" s="42">
        <f t="shared" ref="D44:AE44" si="36">D35-D18</f>
        <v>91643960.006769776</v>
      </c>
      <c r="E44" s="42">
        <f t="shared" si="36"/>
        <v>44764086.94183141</v>
      </c>
      <c r="F44" s="42">
        <f t="shared" si="36"/>
        <v>89557463.223070502</v>
      </c>
      <c r="G44" s="42">
        <f t="shared" si="36"/>
        <v>43042977.134468615</v>
      </c>
      <c r="H44" s="42">
        <f t="shared" si="36"/>
        <v>83111955.15980196</v>
      </c>
      <c r="I44" s="42">
        <f t="shared" si="36"/>
        <v>53220266.693493962</v>
      </c>
      <c r="J44" s="42">
        <f t="shared" si="36"/>
        <v>109410433.12850189</v>
      </c>
      <c r="K44" s="42">
        <f t="shared" si="36"/>
        <v>57928477</v>
      </c>
      <c r="L44" s="42">
        <f t="shared" si="36"/>
        <v>133158087</v>
      </c>
      <c r="M44" s="42">
        <f t="shared" si="36"/>
        <v>80104636</v>
      </c>
      <c r="N44" s="42">
        <f t="shared" si="36"/>
        <v>160508609</v>
      </c>
      <c r="O44" s="42">
        <f t="shared" si="36"/>
        <v>81803769.569325343</v>
      </c>
      <c r="P44" s="42">
        <f t="shared" si="36"/>
        <v>166256382.16588765</v>
      </c>
      <c r="Q44" s="42">
        <f t="shared" si="36"/>
        <v>77236828</v>
      </c>
      <c r="R44" s="34"/>
      <c r="S44" s="42">
        <f t="shared" si="36"/>
        <v>72297989.94183141</v>
      </c>
      <c r="T44" s="42">
        <f t="shared" si="36"/>
        <v>144962314.33577043</v>
      </c>
      <c r="U44" s="42">
        <f t="shared" si="36"/>
        <v>74095136.134468615</v>
      </c>
      <c r="V44" s="42">
        <f t="shared" si="36"/>
        <v>147310128.15980196</v>
      </c>
      <c r="W44" s="42">
        <f t="shared" si="36"/>
        <v>87844675.842064559</v>
      </c>
      <c r="X44" s="42">
        <f t="shared" si="36"/>
        <v>178189022.12850189</v>
      </c>
      <c r="Y44" s="42">
        <f t="shared" si="36"/>
        <v>94362996</v>
      </c>
      <c r="Z44" s="42">
        <f t="shared" si="36"/>
        <v>214239355</v>
      </c>
      <c r="AA44" s="42">
        <f t="shared" si="36"/>
        <v>128439105</v>
      </c>
      <c r="AB44" s="42">
        <f t="shared" si="36"/>
        <v>257353799.26765549</v>
      </c>
      <c r="AC44" s="42">
        <f t="shared" si="36"/>
        <v>132424165</v>
      </c>
      <c r="AD44" s="42">
        <f t="shared" si="36"/>
        <v>269614433.52560306</v>
      </c>
      <c r="AE44" s="42">
        <f t="shared" si="36"/>
        <v>135059422</v>
      </c>
      <c r="AF44" s="4"/>
      <c r="AG44" s="4"/>
    </row>
    <row r="45" spans="2:45">
      <c r="B45" s="44" t="s">
        <v>38</v>
      </c>
      <c r="C45" s="45">
        <f t="shared" ref="C45:Q45" si="37">C44/C7</f>
        <v>8.7807786431062851E-2</v>
      </c>
      <c r="D45" s="45">
        <f t="shared" si="37"/>
        <v>8.0156394081967133E-2</v>
      </c>
      <c r="E45" s="45">
        <f t="shared" si="37"/>
        <v>7.5200576648122727E-2</v>
      </c>
      <c r="F45" s="45">
        <f t="shared" si="37"/>
        <v>7.2398014686303552E-2</v>
      </c>
      <c r="G45" s="1339">
        <f t="shared" si="37"/>
        <v>6.5423147323519448E-2</v>
      </c>
      <c r="H45" s="45">
        <f t="shared" si="37"/>
        <v>6.072304201798031E-2</v>
      </c>
      <c r="I45" s="45">
        <f t="shared" si="37"/>
        <v>6.9718324838912243E-2</v>
      </c>
      <c r="J45" s="45">
        <f t="shared" si="37"/>
        <v>7.0415772922058334E-2</v>
      </c>
      <c r="K45" s="45">
        <f t="shared" si="37"/>
        <v>7.0452849303184878E-2</v>
      </c>
      <c r="L45" s="45">
        <f t="shared" si="37"/>
        <v>7.1741607219886844E-2</v>
      </c>
      <c r="M45" s="45">
        <f t="shared" si="37"/>
        <v>7.0498149660923437E-2</v>
      </c>
      <c r="N45" s="45">
        <f t="shared" si="37"/>
        <v>6.8243559994563815E-2</v>
      </c>
      <c r="O45" s="45">
        <f t="shared" si="37"/>
        <v>6.6536558309951685E-2</v>
      </c>
      <c r="P45" s="45">
        <f t="shared" si="37"/>
        <v>6.533466247998139E-2</v>
      </c>
      <c r="Q45" s="45">
        <f t="shared" si="37"/>
        <v>5.2899823457190479E-2</v>
      </c>
      <c r="R45" s="34"/>
      <c r="S45" s="45">
        <f t="shared" ref="S45:AE45" si="38">S44/S7</f>
        <v>0.12145563342307868</v>
      </c>
      <c r="T45" s="45">
        <f t="shared" si="38"/>
        <v>0.11718714872596005</v>
      </c>
      <c r="U45" s="45">
        <f t="shared" si="38"/>
        <v>0.11262085780306504</v>
      </c>
      <c r="V45" s="45">
        <f t="shared" si="38"/>
        <v>0.10762734536472711</v>
      </c>
      <c r="W45" s="45">
        <f t="shared" si="38"/>
        <v>0.11507615474754271</v>
      </c>
      <c r="X45" s="45">
        <f t="shared" si="38"/>
        <v>0.11468118131538213</v>
      </c>
      <c r="Y45" s="45">
        <f t="shared" si="38"/>
        <v>0.11476465947801523</v>
      </c>
      <c r="Z45" s="45">
        <f t="shared" si="38"/>
        <v>0.11542577701234098</v>
      </c>
      <c r="AA45" s="45">
        <f t="shared" si="38"/>
        <v>0.11303614495676705</v>
      </c>
      <c r="AB45" s="45">
        <f t="shared" si="38"/>
        <v>0.1094192987502071</v>
      </c>
      <c r="AC45" s="45">
        <f t="shared" si="38"/>
        <v>0.10770956182773656</v>
      </c>
      <c r="AD45" s="45">
        <f t="shared" si="38"/>
        <v>0.10595183044793165</v>
      </c>
      <c r="AE45" s="45">
        <f t="shared" si="38"/>
        <v>9.2502757622700243E-2</v>
      </c>
    </row>
    <row r="46" spans="2:45" collapsed="1">
      <c r="B46" s="47"/>
      <c r="C46" s="37"/>
      <c r="D46" s="37"/>
      <c r="E46" s="37"/>
      <c r="F46" s="48"/>
      <c r="G46" s="1336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34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</row>
    <row r="47" spans="2:45" s="43" customFormat="1" hidden="1" outlineLevel="1">
      <c r="B47" s="41" t="s">
        <v>1096</v>
      </c>
      <c r="C47" s="42">
        <f t="shared" ref="C47:N47" si="39">C44-C48-C49</f>
        <v>48735502.000000328</v>
      </c>
      <c r="D47" s="42">
        <f t="shared" si="39"/>
        <v>91643960.006769776</v>
      </c>
      <c r="E47" s="42">
        <f t="shared" si="39"/>
        <v>44764086.94183141</v>
      </c>
      <c r="F47" s="42">
        <f t="shared" si="39"/>
        <v>89557463.223070502</v>
      </c>
      <c r="G47" s="42">
        <f t="shared" si="39"/>
        <v>46941884.184258617</v>
      </c>
      <c r="H47" s="42">
        <f t="shared" si="39"/>
        <v>92973913.76785323</v>
      </c>
      <c r="I47" s="42">
        <f t="shared" si="39"/>
        <v>53569879.158143848</v>
      </c>
      <c r="J47" s="42">
        <f t="shared" si="39"/>
        <v>110264197.78296679</v>
      </c>
      <c r="K47" s="42">
        <f t="shared" si="39"/>
        <v>58603413</v>
      </c>
      <c r="L47" s="42">
        <f t="shared" si="39"/>
        <v>134069391</v>
      </c>
      <c r="M47" s="42">
        <f t="shared" si="39"/>
        <v>80525883</v>
      </c>
      <c r="N47" s="42">
        <f t="shared" si="39"/>
        <v>161408644</v>
      </c>
      <c r="O47" s="42">
        <f t="shared" ref="O47:P47" si="40">O44-O48-O49</f>
        <v>82142040.569325343</v>
      </c>
      <c r="P47" s="42">
        <f t="shared" si="40"/>
        <v>166917701.16588765</v>
      </c>
      <c r="Q47" s="42"/>
      <c r="R47" s="34"/>
      <c r="S47" s="42">
        <f t="shared" ref="S47:AB47" si="41">S44-S48-S49</f>
        <v>72297989.94183141</v>
      </c>
      <c r="T47" s="42">
        <f t="shared" si="41"/>
        <v>144962314.33577043</v>
      </c>
      <c r="U47" s="42">
        <f t="shared" si="41"/>
        <v>77994043.18425861</v>
      </c>
      <c r="V47" s="42">
        <f t="shared" si="41"/>
        <v>157172086.76785323</v>
      </c>
      <c r="W47" s="42">
        <f t="shared" si="41"/>
        <v>88194288.306714445</v>
      </c>
      <c r="X47" s="42">
        <f t="shared" si="41"/>
        <v>179042786.78296679</v>
      </c>
      <c r="Y47" s="42">
        <f t="shared" si="41"/>
        <v>95037932</v>
      </c>
      <c r="Z47" s="42">
        <f t="shared" si="41"/>
        <v>215150659</v>
      </c>
      <c r="AA47" s="42">
        <f t="shared" si="41"/>
        <v>128860352</v>
      </c>
      <c r="AB47" s="42">
        <f t="shared" si="41"/>
        <v>258253834.26765549</v>
      </c>
      <c r="AC47" s="42">
        <f t="shared" ref="AC47:AD47" si="42">AC44-AC48-AC49</f>
        <v>132762436</v>
      </c>
      <c r="AD47" s="42">
        <f t="shared" si="42"/>
        <v>270275752.52560306</v>
      </c>
      <c r="AE47" s="42"/>
      <c r="AF47" s="4"/>
      <c r="AG47" s="4"/>
    </row>
    <row r="48" spans="2:45" hidden="1" outlineLevel="1">
      <c r="B48" s="36" t="s">
        <v>188</v>
      </c>
      <c r="C48" s="34"/>
      <c r="D48" s="34"/>
      <c r="E48" s="34"/>
      <c r="F48" s="34"/>
      <c r="G48" s="37">
        <v>-975145</v>
      </c>
      <c r="H48" s="37">
        <v>-1999268.5582612799</v>
      </c>
      <c r="I48" s="37">
        <v>-349612.46464988741</v>
      </c>
      <c r="J48" s="37">
        <v>-853764.65446490305</v>
      </c>
      <c r="K48" s="37">
        <v>-674936</v>
      </c>
      <c r="L48" s="37">
        <v>-911304</v>
      </c>
      <c r="M48" s="37">
        <v>-421247</v>
      </c>
      <c r="N48" s="37">
        <v>-900035</v>
      </c>
      <c r="O48" s="37">
        <v>-338271</v>
      </c>
      <c r="P48" s="37">
        <v>-661319</v>
      </c>
      <c r="Q48" s="37"/>
      <c r="R48" s="34"/>
      <c r="S48" s="34"/>
      <c r="T48" s="34"/>
      <c r="U48" s="37">
        <v>-975145</v>
      </c>
      <c r="V48" s="37">
        <v>-1999268.5582612799</v>
      </c>
      <c r="W48" s="37">
        <v>-349612.46464988741</v>
      </c>
      <c r="X48" s="37">
        <v>-853764.65446490305</v>
      </c>
      <c r="Y48" s="37">
        <v>-674936</v>
      </c>
      <c r="Z48" s="37">
        <v>-911304</v>
      </c>
      <c r="AA48" s="37">
        <v>-421247</v>
      </c>
      <c r="AB48" s="37">
        <v>-900035</v>
      </c>
      <c r="AC48" s="37">
        <v>-338271</v>
      </c>
      <c r="AD48" s="37">
        <v>-661319</v>
      </c>
      <c r="AE48" s="37"/>
    </row>
    <row r="49" spans="2:31" hidden="1" outlineLevel="1">
      <c r="B49" s="36" t="s">
        <v>189</v>
      </c>
      <c r="C49" s="37"/>
      <c r="D49" s="37"/>
      <c r="E49" s="37"/>
      <c r="F49" s="37"/>
      <c r="G49" s="37">
        <v>-2923762.0497900001</v>
      </c>
      <c r="H49" s="37">
        <v>-7862690.0497899996</v>
      </c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>
        <v>-2923762.0497900001</v>
      </c>
      <c r="V49" s="37">
        <v>-7862690.0497899996</v>
      </c>
      <c r="W49" s="37"/>
      <c r="X49" s="37"/>
      <c r="Y49" s="37"/>
      <c r="Z49" s="37"/>
      <c r="AA49" s="37"/>
      <c r="AB49" s="37"/>
      <c r="AC49" s="37"/>
      <c r="AD49" s="37"/>
      <c r="AE49" s="37"/>
    </row>
    <row r="50" spans="2:31" hidden="1" outlineLevel="1">
      <c r="B50" s="44" t="s">
        <v>218</v>
      </c>
      <c r="C50" s="45">
        <f t="shared" ref="C50:P50" si="43">C47/C7</f>
        <v>8.7807786431062851E-2</v>
      </c>
      <c r="D50" s="45">
        <f t="shared" si="43"/>
        <v>8.0156394081967133E-2</v>
      </c>
      <c r="E50" s="45">
        <f t="shared" si="43"/>
        <v>7.5200576648122727E-2</v>
      </c>
      <c r="F50" s="45">
        <f t="shared" si="43"/>
        <v>7.2398014686303552E-2</v>
      </c>
      <c r="G50" s="1339">
        <f t="shared" si="43"/>
        <v>7.134928875937413E-2</v>
      </c>
      <c r="H50" s="45">
        <f t="shared" si="43"/>
        <v>6.7928360744809152E-2</v>
      </c>
      <c r="I50" s="45">
        <f t="shared" si="43"/>
        <v>7.0176315692632885E-2</v>
      </c>
      <c r="J50" s="45">
        <f t="shared" si="43"/>
        <v>7.0965249752728332E-2</v>
      </c>
      <c r="K50" s="45">
        <f t="shared" si="43"/>
        <v>7.1273709211124359E-2</v>
      </c>
      <c r="L50" s="45">
        <f t="shared" si="43"/>
        <v>7.2232590644918424E-2</v>
      </c>
      <c r="M50" s="45">
        <f t="shared" si="43"/>
        <v>7.0868878941188998E-2</v>
      </c>
      <c r="N50" s="45">
        <f t="shared" si="43"/>
        <v>6.8626228518715734E-2</v>
      </c>
      <c r="O50" s="45">
        <f t="shared" si="43"/>
        <v>6.6811697074761187E-2</v>
      </c>
      <c r="P50" s="45">
        <f t="shared" si="43"/>
        <v>6.5594544555446554E-2</v>
      </c>
      <c r="Q50" s="45"/>
      <c r="R50" s="45"/>
      <c r="S50" s="45">
        <f t="shared" ref="S50:AD50" si="44">S47/S7</f>
        <v>0.12145563342307868</v>
      </c>
      <c r="T50" s="45">
        <f t="shared" si="44"/>
        <v>0.11718714872596005</v>
      </c>
      <c r="U50" s="45">
        <f t="shared" si="44"/>
        <v>0.1185469992389197</v>
      </c>
      <c r="V50" s="45">
        <f t="shared" si="44"/>
        <v>0.11483266409155596</v>
      </c>
      <c r="W50" s="45">
        <f t="shared" si="44"/>
        <v>0.11553414560126335</v>
      </c>
      <c r="X50" s="45">
        <f t="shared" si="44"/>
        <v>0.11523065814605211</v>
      </c>
      <c r="Y50" s="45">
        <f t="shared" si="44"/>
        <v>0.11558551938595472</v>
      </c>
      <c r="Z50" s="45">
        <f t="shared" si="44"/>
        <v>0.11591676043737256</v>
      </c>
      <c r="AA50" s="45">
        <f t="shared" si="44"/>
        <v>0.11340687423703261</v>
      </c>
      <c r="AB50" s="45">
        <f t="shared" si="44"/>
        <v>0.10980196727435902</v>
      </c>
      <c r="AC50" s="45">
        <f t="shared" si="44"/>
        <v>0.10798470059254606</v>
      </c>
      <c r="AD50" s="45">
        <f t="shared" si="44"/>
        <v>0.1062117125233968</v>
      </c>
      <c r="AE50" s="45"/>
    </row>
    <row r="51" spans="2:31">
      <c r="B51" s="47"/>
      <c r="C51" s="47"/>
      <c r="D51" s="47"/>
      <c r="E51" s="37"/>
      <c r="F51" s="49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</row>
  </sheetData>
  <hyperlinks>
    <hyperlink ref="B4" location="'Cover list'!A1" display="&gt;&gt;  Content" xr:uid="{00000000-0004-0000-0200-000000000000}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B1:BM65"/>
  <sheetViews>
    <sheetView showGridLines="0" zoomScaleNormal="100" zoomScaleSheetLayoutView="115" workbookViewId="0">
      <pane xSplit="2" ySplit="6" topLeftCell="W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.75" outlineLevelRow="1" outlineLevelCol="1"/>
  <cols>
    <col min="1" max="1" width="5.625" style="4" customWidth="1"/>
    <col min="2" max="2" width="28.5" style="4" customWidth="1" collapsed="1"/>
    <col min="3" max="21" width="10.5" style="4" hidden="1" customWidth="1" outlineLevel="1"/>
    <col min="22" max="22" width="12.75" style="4" hidden="1" customWidth="1" outlineLevel="1" collapsed="1"/>
    <col min="23" max="23" width="12.375" style="4" customWidth="1" collapsed="1"/>
    <col min="24" max="30" width="12.375" style="4" customWidth="1"/>
    <col min="31" max="31" width="9.25" style="4" customWidth="1"/>
    <col min="32" max="33" width="10.5" style="4" customWidth="1" outlineLevel="1"/>
    <col min="34" max="34" width="10.25" style="4" customWidth="1" outlineLevel="1"/>
    <col min="35" max="45" width="10.5" style="4" customWidth="1" outlineLevel="1"/>
    <col min="46" max="46" width="11.125" style="4" customWidth="1" outlineLevel="1"/>
    <col min="47" max="47" width="10.625" style="4" customWidth="1" outlineLevel="1" collapsed="1"/>
    <col min="48" max="50" width="10.625" style="4" customWidth="1"/>
    <col min="51" max="51" width="11" style="4" customWidth="1" collapsed="1"/>
    <col min="52" max="55" width="10.625" style="4" customWidth="1"/>
    <col min="56" max="56" width="11.125" style="4" bestFit="1" customWidth="1"/>
    <col min="57" max="57" width="11.75" style="4" bestFit="1" customWidth="1"/>
    <col min="58" max="60" width="9" style="4"/>
    <col min="61" max="61" width="11.75" style="4" bestFit="1" customWidth="1"/>
    <col min="62" max="63" width="9.875" style="4" bestFit="1" customWidth="1"/>
    <col min="64" max="16384" width="9" style="4"/>
  </cols>
  <sheetData>
    <row r="1" spans="2:65" ht="15">
      <c r="M1" s="1331"/>
    </row>
    <row r="2" spans="2:65" ht="18.75">
      <c r="B2" s="1370" t="s">
        <v>185</v>
      </c>
      <c r="C2" s="1342"/>
      <c r="D2" s="24"/>
      <c r="G2" s="1331"/>
      <c r="H2" s="1331"/>
      <c r="I2" s="1345"/>
      <c r="J2" s="1331"/>
      <c r="K2" s="1331"/>
      <c r="L2" s="1331"/>
      <c r="M2" s="1345"/>
    </row>
    <row r="3" spans="2:65">
      <c r="B3" s="25" t="s">
        <v>220</v>
      </c>
      <c r="C3" s="25"/>
      <c r="D3" s="1343"/>
      <c r="V3" s="1333"/>
      <c r="Z3" s="1333"/>
      <c r="AF3" s="26"/>
      <c r="AU3" s="1333"/>
      <c r="AY3" s="1333"/>
    </row>
    <row r="4" spans="2:65">
      <c r="B4" s="27" t="s">
        <v>41</v>
      </c>
      <c r="C4" s="27"/>
      <c r="D4" s="27"/>
      <c r="E4" s="2"/>
      <c r="F4" s="2"/>
      <c r="G4" s="79" t="s">
        <v>1131</v>
      </c>
      <c r="H4" s="79" t="s">
        <v>1131</v>
      </c>
      <c r="I4" s="79" t="s">
        <v>1131</v>
      </c>
      <c r="J4" s="79" t="s">
        <v>1131</v>
      </c>
      <c r="K4" s="79" t="s">
        <v>1131</v>
      </c>
      <c r="L4" s="79" t="s">
        <v>1131</v>
      </c>
      <c r="M4" s="79" t="s">
        <v>1131</v>
      </c>
      <c r="N4" s="79" t="s">
        <v>1131</v>
      </c>
      <c r="O4" s="79"/>
      <c r="P4" s="79"/>
      <c r="Q4" s="79"/>
      <c r="R4" s="79"/>
      <c r="S4" s="79"/>
      <c r="T4" s="79" t="s">
        <v>1131</v>
      </c>
      <c r="U4" s="79" t="s">
        <v>1131</v>
      </c>
      <c r="V4" s="79" t="s">
        <v>1131</v>
      </c>
      <c r="W4" s="79"/>
      <c r="X4" s="79"/>
      <c r="Y4" s="79"/>
      <c r="Z4" s="1533"/>
      <c r="AA4" s="79"/>
      <c r="AB4" s="79"/>
      <c r="AC4" s="79"/>
      <c r="AD4" s="79"/>
      <c r="AF4" s="79" t="s">
        <v>1131</v>
      </c>
      <c r="AG4" s="79" t="s">
        <v>1131</v>
      </c>
      <c r="AH4" s="79" t="s">
        <v>1131</v>
      </c>
      <c r="AI4" s="79" t="s">
        <v>1131</v>
      </c>
      <c r="AJ4" s="79" t="s">
        <v>1131</v>
      </c>
      <c r="AK4" s="79" t="s">
        <v>1131</v>
      </c>
      <c r="AL4" s="79" t="s">
        <v>1131</v>
      </c>
      <c r="AM4" s="79" t="s">
        <v>1131</v>
      </c>
      <c r="AN4" s="79"/>
      <c r="AO4" s="79"/>
      <c r="AP4" s="79"/>
      <c r="AQ4" s="79"/>
      <c r="AR4" s="79"/>
      <c r="AS4" s="79" t="s">
        <v>1131</v>
      </c>
      <c r="AT4" s="79" t="s">
        <v>1131</v>
      </c>
      <c r="AU4" s="79" t="s">
        <v>1131</v>
      </c>
      <c r="AV4" s="79"/>
      <c r="AW4" s="79"/>
      <c r="AX4" s="79"/>
      <c r="AY4" s="1533"/>
      <c r="AZ4" s="79"/>
      <c r="BA4" s="79"/>
      <c r="BB4" s="79"/>
      <c r="BC4" s="79"/>
    </row>
    <row r="5" spans="2:65" s="43" customFormat="1">
      <c r="C5" s="79" t="s">
        <v>174</v>
      </c>
      <c r="D5" s="79" t="s">
        <v>174</v>
      </c>
      <c r="E5" s="79" t="s">
        <v>174</v>
      </c>
      <c r="F5" s="79" t="s">
        <v>174</v>
      </c>
      <c r="G5" s="79" t="s">
        <v>174</v>
      </c>
      <c r="H5" s="79" t="s">
        <v>174</v>
      </c>
      <c r="I5" s="79" t="s">
        <v>174</v>
      </c>
      <c r="J5" s="79" t="s">
        <v>174</v>
      </c>
      <c r="K5" s="79" t="s">
        <v>174</v>
      </c>
      <c r="L5" s="79" t="s">
        <v>174</v>
      </c>
      <c r="M5" s="79" t="s">
        <v>174</v>
      </c>
      <c r="N5" s="79" t="s">
        <v>174</v>
      </c>
      <c r="O5" s="79" t="s">
        <v>174</v>
      </c>
      <c r="P5" s="79" t="s">
        <v>174</v>
      </c>
      <c r="Q5" s="79" t="s">
        <v>174</v>
      </c>
      <c r="R5" s="79" t="s">
        <v>174</v>
      </c>
      <c r="S5" s="79" t="s">
        <v>174</v>
      </c>
      <c r="T5" s="79" t="s">
        <v>174</v>
      </c>
      <c r="U5" s="79" t="s">
        <v>174</v>
      </c>
      <c r="V5" s="79" t="s">
        <v>174</v>
      </c>
      <c r="W5" s="79" t="s">
        <v>174</v>
      </c>
      <c r="X5" s="79" t="s">
        <v>174</v>
      </c>
      <c r="Y5" s="79" t="s">
        <v>174</v>
      </c>
      <c r="Z5" s="79" t="s">
        <v>174</v>
      </c>
      <c r="AA5" s="79" t="s">
        <v>174</v>
      </c>
      <c r="AB5" s="79" t="s">
        <v>174</v>
      </c>
      <c r="AC5" s="79" t="s">
        <v>174</v>
      </c>
      <c r="AD5" s="79" t="s">
        <v>174</v>
      </c>
      <c r="AE5" s="79"/>
      <c r="AF5" s="79" t="s">
        <v>183</v>
      </c>
      <c r="AG5" s="79" t="s">
        <v>183</v>
      </c>
      <c r="AH5" s="79" t="s">
        <v>183</v>
      </c>
      <c r="AI5" s="79" t="s">
        <v>183</v>
      </c>
      <c r="AJ5" s="79" t="s">
        <v>183</v>
      </c>
      <c r="AK5" s="79" t="s">
        <v>183</v>
      </c>
      <c r="AL5" s="79" t="s">
        <v>183</v>
      </c>
      <c r="AM5" s="79" t="s">
        <v>183</v>
      </c>
      <c r="AN5" s="79" t="s">
        <v>183</v>
      </c>
      <c r="AO5" s="79" t="s">
        <v>183</v>
      </c>
      <c r="AP5" s="79" t="s">
        <v>183</v>
      </c>
      <c r="AQ5" s="79" t="s">
        <v>183</v>
      </c>
      <c r="AR5" s="79" t="s">
        <v>183</v>
      </c>
      <c r="AS5" s="79" t="s">
        <v>183</v>
      </c>
      <c r="AT5" s="79" t="s">
        <v>183</v>
      </c>
      <c r="AU5" s="79" t="s">
        <v>183</v>
      </c>
      <c r="AV5" s="79" t="s">
        <v>183</v>
      </c>
      <c r="AW5" s="79" t="s">
        <v>183</v>
      </c>
      <c r="AX5" s="79" t="s">
        <v>183</v>
      </c>
      <c r="AY5" s="79" t="s">
        <v>183</v>
      </c>
      <c r="AZ5" s="79" t="s">
        <v>183</v>
      </c>
      <c r="BA5" s="79" t="s">
        <v>183</v>
      </c>
      <c r="BB5" s="79" t="s">
        <v>183</v>
      </c>
      <c r="BC5" s="79" t="s">
        <v>183</v>
      </c>
      <c r="BD5" s="4"/>
      <c r="BE5" s="4"/>
      <c r="BF5" s="4"/>
      <c r="BG5" s="4"/>
      <c r="BH5" s="4"/>
      <c r="BI5" s="4"/>
      <c r="BJ5" s="4"/>
      <c r="BK5" s="4"/>
      <c r="BL5" s="4"/>
      <c r="BM5" s="4"/>
    </row>
    <row r="6" spans="2:65">
      <c r="B6" s="1349"/>
      <c r="C6" s="1350" t="s">
        <v>201</v>
      </c>
      <c r="D6" s="1350" t="s">
        <v>202</v>
      </c>
      <c r="E6" s="1350" t="s">
        <v>203</v>
      </c>
      <c r="F6" s="1350" t="s">
        <v>204</v>
      </c>
      <c r="G6" s="1350" t="s">
        <v>209</v>
      </c>
      <c r="H6" s="1350" t="s">
        <v>210</v>
      </c>
      <c r="I6" s="1350" t="s">
        <v>211</v>
      </c>
      <c r="J6" s="1350" t="s">
        <v>212</v>
      </c>
      <c r="K6" s="1350" t="s">
        <v>213</v>
      </c>
      <c r="L6" s="1350" t="s">
        <v>214</v>
      </c>
      <c r="M6" s="1350" t="s">
        <v>215</v>
      </c>
      <c r="N6" s="1350" t="s">
        <v>1129</v>
      </c>
      <c r="O6" s="1350" t="s">
        <v>1133</v>
      </c>
      <c r="P6" s="1350" t="s">
        <v>1134</v>
      </c>
      <c r="Q6" s="1350" t="s">
        <v>1137</v>
      </c>
      <c r="R6" s="1350" t="s">
        <v>1138</v>
      </c>
      <c r="S6" s="1350" t="s">
        <v>1141</v>
      </c>
      <c r="T6" s="1350" t="s">
        <v>1142</v>
      </c>
      <c r="U6" s="1350" t="s">
        <v>1160</v>
      </c>
      <c r="V6" s="1350" t="s">
        <v>1161</v>
      </c>
      <c r="W6" s="1350" t="s">
        <v>1177</v>
      </c>
      <c r="X6" s="1350" t="s">
        <v>1178</v>
      </c>
      <c r="Y6" s="1350" t="s">
        <v>1181</v>
      </c>
      <c r="Z6" s="1350" t="s">
        <v>1180</v>
      </c>
      <c r="AA6" s="1350" t="s">
        <v>1191</v>
      </c>
      <c r="AB6" s="1350" t="s">
        <v>1192</v>
      </c>
      <c r="AC6" s="1350" t="s">
        <v>1193</v>
      </c>
      <c r="AD6" s="1350" t="s">
        <v>1194</v>
      </c>
      <c r="AE6" s="1374"/>
      <c r="AF6" s="1350" t="s">
        <v>209</v>
      </c>
      <c r="AG6" s="1350" t="s">
        <v>210</v>
      </c>
      <c r="AH6" s="1350" t="s">
        <v>211</v>
      </c>
      <c r="AI6" s="1350" t="s">
        <v>212</v>
      </c>
      <c r="AJ6" s="1350" t="s">
        <v>213</v>
      </c>
      <c r="AK6" s="1350" t="s">
        <v>214</v>
      </c>
      <c r="AL6" s="1350" t="s">
        <v>215</v>
      </c>
      <c r="AM6" s="1350" t="s">
        <v>1129</v>
      </c>
      <c r="AN6" s="1350" t="s">
        <v>1133</v>
      </c>
      <c r="AO6" s="1350" t="s">
        <v>1134</v>
      </c>
      <c r="AP6" s="1350" t="s">
        <v>1137</v>
      </c>
      <c r="AQ6" s="1350" t="s">
        <v>1138</v>
      </c>
      <c r="AR6" s="1350" t="s">
        <v>1141</v>
      </c>
      <c r="AS6" s="1350" t="s">
        <v>1142</v>
      </c>
      <c r="AT6" s="1350" t="s">
        <v>1160</v>
      </c>
      <c r="AU6" s="1350" t="s">
        <v>1161</v>
      </c>
      <c r="AV6" s="1350" t="s">
        <v>1177</v>
      </c>
      <c r="AW6" s="1350" t="s">
        <v>1178</v>
      </c>
      <c r="AX6" s="1350" t="s">
        <v>1181</v>
      </c>
      <c r="AY6" s="1350" t="s">
        <v>1180</v>
      </c>
      <c r="AZ6" s="1350" t="s">
        <v>1191</v>
      </c>
      <c r="BA6" s="1350" t="s">
        <v>1192</v>
      </c>
      <c r="BB6" s="1350" t="s">
        <v>1193</v>
      </c>
      <c r="BC6" s="1350" t="s">
        <v>1194</v>
      </c>
    </row>
    <row r="7" spans="2:65">
      <c r="B7" s="33" t="s">
        <v>22</v>
      </c>
      <c r="C7" s="33">
        <v>266983079</v>
      </c>
      <c r="D7" s="33">
        <v>288041754</v>
      </c>
      <c r="E7" s="33">
        <v>285960601</v>
      </c>
      <c r="F7" s="33">
        <v>302328971</v>
      </c>
      <c r="G7" s="33">
        <v>288561369</v>
      </c>
      <c r="H7" s="33">
        <v>306701180</v>
      </c>
      <c r="I7" s="33">
        <v>310111832</v>
      </c>
      <c r="J7" s="33">
        <v>331641076</v>
      </c>
      <c r="K7" s="33">
        <v>317241790</v>
      </c>
      <c r="L7" s="33">
        <v>340674848</v>
      </c>
      <c r="M7" s="33">
        <v>342582833</v>
      </c>
      <c r="N7" s="33">
        <v>368205922.66381234</v>
      </c>
      <c r="O7" s="1344">
        <v>376038226.24182236</v>
      </c>
      <c r="P7" s="1344">
        <v>387323010.04513758</v>
      </c>
      <c r="Q7" s="1344">
        <v>383188945.20716274</v>
      </c>
      <c r="R7" s="1344">
        <v>407227170.25795543</v>
      </c>
      <c r="S7" s="1344">
        <v>397889006.76794851</v>
      </c>
      <c r="T7" s="1344">
        <v>424341430</v>
      </c>
      <c r="U7" s="1344">
        <v>489296055.92810798</v>
      </c>
      <c r="V7" s="1344">
        <v>544552458.26718426</v>
      </c>
      <c r="W7" s="1344">
        <v>547707678.18775737</v>
      </c>
      <c r="X7" s="1344">
        <v>588558116.0343529</v>
      </c>
      <c r="Y7" s="1344">
        <v>594422403.89096618</v>
      </c>
      <c r="Z7" s="1344">
        <v>621308225.01175594</v>
      </c>
      <c r="AA7" s="1344">
        <v>596797090</v>
      </c>
      <c r="AB7" s="1344">
        <v>632658891</v>
      </c>
      <c r="AC7" s="1344">
        <v>628485446</v>
      </c>
      <c r="AD7" s="1344">
        <v>686747347.49907303</v>
      </c>
      <c r="AE7" s="1541"/>
      <c r="AF7" s="1344">
        <v>288561369</v>
      </c>
      <c r="AG7" s="1344">
        <v>306701180</v>
      </c>
      <c r="AH7" s="1344">
        <v>310111832</v>
      </c>
      <c r="AI7" s="1344">
        <v>331641076.99487066</v>
      </c>
      <c r="AJ7" s="1344">
        <v>317241790</v>
      </c>
      <c r="AK7" s="1344">
        <v>340674848</v>
      </c>
      <c r="AL7" s="1344">
        <v>342582833</v>
      </c>
      <c r="AM7" s="1344">
        <v>368205922.66381234</v>
      </c>
      <c r="AN7" s="1344">
        <v>376038226.24182236</v>
      </c>
      <c r="AO7" s="1344">
        <v>387323010.04513758</v>
      </c>
      <c r="AP7" s="1344">
        <v>383188945.20716274</v>
      </c>
      <c r="AQ7" s="1344">
        <v>407227170.25795543</v>
      </c>
      <c r="AR7" s="1344">
        <v>397889007.29581213</v>
      </c>
      <c r="AS7" s="1344">
        <v>424341429</v>
      </c>
      <c r="AT7" s="1344">
        <v>489296055.82674903</v>
      </c>
      <c r="AU7" s="1344">
        <v>544552458.26718426</v>
      </c>
      <c r="AV7" s="1344">
        <v>547707678.18775737</v>
      </c>
      <c r="AW7" s="1344">
        <v>588558116.0343529</v>
      </c>
      <c r="AX7" s="1344">
        <v>594422403.89096618</v>
      </c>
      <c r="AY7" s="1344">
        <v>621308225.01175594</v>
      </c>
      <c r="AZ7" s="1344">
        <v>596797090</v>
      </c>
      <c r="BA7" s="1344">
        <v>632658891</v>
      </c>
      <c r="BB7" s="1344">
        <v>628485446</v>
      </c>
      <c r="BC7" s="1344">
        <f>SUM(BC8:BC10)</f>
        <v>686747347</v>
      </c>
    </row>
    <row r="8" spans="2:65">
      <c r="B8" s="36" t="s">
        <v>1217</v>
      </c>
      <c r="C8" s="37">
        <v>264571320</v>
      </c>
      <c r="D8" s="37">
        <v>284669918</v>
      </c>
      <c r="E8" s="37">
        <v>282677989</v>
      </c>
      <c r="F8" s="37">
        <v>299193878</v>
      </c>
      <c r="G8" s="37">
        <v>284927155</v>
      </c>
      <c r="H8" s="37">
        <v>299818377</v>
      </c>
      <c r="I8" s="37">
        <v>305248910</v>
      </c>
      <c r="J8" s="37">
        <v>326856831</v>
      </c>
      <c r="K8" s="37">
        <v>310158794</v>
      </c>
      <c r="L8" s="37">
        <v>332852866</v>
      </c>
      <c r="M8" s="37">
        <v>332964545</v>
      </c>
      <c r="N8" s="37">
        <v>356952619.01841223</v>
      </c>
      <c r="O8" s="37">
        <v>364784448.52839965</v>
      </c>
      <c r="P8" s="37">
        <v>379174266.51311141</v>
      </c>
      <c r="Q8" s="37">
        <v>370951626.60170221</v>
      </c>
      <c r="R8" s="37">
        <v>395160430.26085573</v>
      </c>
      <c r="S8" s="37">
        <v>387899364</v>
      </c>
      <c r="T8" s="37">
        <v>413692982</v>
      </c>
      <c r="U8" s="37">
        <v>475451579.92810798</v>
      </c>
      <c r="V8" s="37">
        <v>530707986.26718432</v>
      </c>
      <c r="W8" s="37">
        <v>534824477.27793759</v>
      </c>
      <c r="X8" s="37">
        <v>579022437.43294954</v>
      </c>
      <c r="Y8" s="37">
        <v>582888346.24781477</v>
      </c>
      <c r="Z8" s="37">
        <v>602976987.48959589</v>
      </c>
      <c r="AA8" s="37">
        <v>583211811</v>
      </c>
      <c r="AB8" s="37">
        <v>620476501</v>
      </c>
      <c r="AC8" s="37">
        <v>623893319</v>
      </c>
      <c r="AD8" s="37">
        <v>681725948</v>
      </c>
      <c r="AE8" s="1541"/>
      <c r="AF8" s="37">
        <v>284927155</v>
      </c>
      <c r="AG8" s="37">
        <v>299818377</v>
      </c>
      <c r="AH8" s="37">
        <v>305248910</v>
      </c>
      <c r="AI8" s="37">
        <v>326856830.99489069</v>
      </c>
      <c r="AJ8" s="37">
        <v>310158794</v>
      </c>
      <c r="AK8" s="37">
        <v>332852866</v>
      </c>
      <c r="AL8" s="37">
        <v>332964545</v>
      </c>
      <c r="AM8" s="37">
        <v>356952619.01841223</v>
      </c>
      <c r="AN8" s="37">
        <v>364784448.52839965</v>
      </c>
      <c r="AO8" s="37">
        <v>379174266.51311141</v>
      </c>
      <c r="AP8" s="37">
        <v>370951626.60170221</v>
      </c>
      <c r="AQ8" s="37">
        <v>395160430.26085573</v>
      </c>
      <c r="AR8" s="37">
        <v>387899364.52786362</v>
      </c>
      <c r="AS8" s="37">
        <v>413692981</v>
      </c>
      <c r="AT8" s="37">
        <v>475451579.82674903</v>
      </c>
      <c r="AU8" s="37">
        <v>530707986.26718432</v>
      </c>
      <c r="AV8" s="37">
        <v>534824477.27793759</v>
      </c>
      <c r="AW8" s="37">
        <v>579022437.43294954</v>
      </c>
      <c r="AX8" s="37">
        <v>582888346.24781477</v>
      </c>
      <c r="AY8" s="37">
        <v>602976987.48959589</v>
      </c>
      <c r="AZ8" s="37">
        <v>583211811</v>
      </c>
      <c r="BA8" s="37">
        <v>620476501</v>
      </c>
      <c r="BB8" s="37">
        <v>623893319</v>
      </c>
      <c r="BC8" s="37">
        <v>681725948</v>
      </c>
    </row>
    <row r="9" spans="2:65">
      <c r="B9" s="36" t="s">
        <v>51</v>
      </c>
      <c r="C9" s="37">
        <v>2411759</v>
      </c>
      <c r="D9" s="37">
        <v>3371836</v>
      </c>
      <c r="E9" s="37">
        <v>3282612</v>
      </c>
      <c r="F9" s="37">
        <v>3135093</v>
      </c>
      <c r="G9" s="37">
        <v>3634214</v>
      </c>
      <c r="H9" s="37">
        <v>6882803</v>
      </c>
      <c r="I9" s="37">
        <v>4862922</v>
      </c>
      <c r="J9" s="37">
        <v>4784245</v>
      </c>
      <c r="K9" s="37">
        <v>7082996</v>
      </c>
      <c r="L9" s="37">
        <v>7821982</v>
      </c>
      <c r="M9" s="37">
        <v>9618288</v>
      </c>
      <c r="N9" s="37">
        <v>11253303.645400099</v>
      </c>
      <c r="O9" s="37">
        <v>11253777.713422719</v>
      </c>
      <c r="P9" s="37">
        <v>8148743.5320261829</v>
      </c>
      <c r="Q9" s="37">
        <v>12237318.605460502</v>
      </c>
      <c r="R9" s="37">
        <v>12066739.99709972</v>
      </c>
      <c r="S9" s="37">
        <v>9989642.7679485306</v>
      </c>
      <c r="T9" s="37">
        <v>10648448</v>
      </c>
      <c r="U9" s="37">
        <v>13844476</v>
      </c>
      <c r="V9" s="37">
        <v>13844472</v>
      </c>
      <c r="W9" s="37">
        <v>12883200.9098198</v>
      </c>
      <c r="X9" s="37">
        <v>9535678.6014033202</v>
      </c>
      <c r="Y9" s="37">
        <v>11534057.643151401</v>
      </c>
      <c r="Z9" s="37">
        <v>18331237.522160001</v>
      </c>
      <c r="AA9" s="37">
        <v>13585279</v>
      </c>
      <c r="AB9" s="37">
        <v>12182390</v>
      </c>
      <c r="AC9" s="37">
        <v>4592127</v>
      </c>
      <c r="AD9" s="37">
        <v>4440396</v>
      </c>
      <c r="AE9" s="1541"/>
      <c r="AF9" s="37">
        <v>3634214</v>
      </c>
      <c r="AG9" s="37">
        <v>6882803</v>
      </c>
      <c r="AH9" s="37">
        <v>4862922</v>
      </c>
      <c r="AI9" s="37">
        <v>4784245.9999799989</v>
      </c>
      <c r="AJ9" s="37">
        <v>7082996</v>
      </c>
      <c r="AK9" s="37">
        <v>7821982</v>
      </c>
      <c r="AL9" s="37">
        <v>9618288</v>
      </c>
      <c r="AM9" s="37">
        <v>11253303.645400099</v>
      </c>
      <c r="AN9" s="37">
        <v>11253777.713422719</v>
      </c>
      <c r="AO9" s="37">
        <v>8148743.5320261829</v>
      </c>
      <c r="AP9" s="37">
        <v>12237318.605460502</v>
      </c>
      <c r="AQ9" s="37">
        <v>12066739.99709972</v>
      </c>
      <c r="AR9" s="37">
        <v>9989642.7679485306</v>
      </c>
      <c r="AS9" s="37">
        <v>10648448</v>
      </c>
      <c r="AT9" s="37">
        <v>13844476</v>
      </c>
      <c r="AU9" s="37">
        <v>13844472</v>
      </c>
      <c r="AV9" s="37">
        <v>12883200.9098198</v>
      </c>
      <c r="AW9" s="37">
        <v>9535678.6014033202</v>
      </c>
      <c r="AX9" s="37">
        <v>11534057.643151401</v>
      </c>
      <c r="AY9" s="4">
        <v>18331237.522160001</v>
      </c>
      <c r="AZ9" s="37">
        <v>13585279</v>
      </c>
      <c r="BA9" s="37">
        <v>12182390</v>
      </c>
      <c r="BB9" s="37">
        <v>4592127</v>
      </c>
      <c r="BC9" s="37">
        <v>4440396</v>
      </c>
    </row>
    <row r="10" spans="2:65">
      <c r="B10" s="36" t="s">
        <v>36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>
        <v>581003</v>
      </c>
      <c r="AE10" s="1541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Z10" s="37"/>
      <c r="BA10" s="37"/>
      <c r="BB10" s="37"/>
      <c r="BC10" s="37">
        <v>581003</v>
      </c>
    </row>
    <row r="11" spans="2:65">
      <c r="B11" s="1535" t="s">
        <v>20</v>
      </c>
      <c r="C11" s="37">
        <v>-198706428</v>
      </c>
      <c r="D11" s="37">
        <v>-211070131</v>
      </c>
      <c r="E11" s="37">
        <v>-214563685</v>
      </c>
      <c r="F11" s="37">
        <v>-229476612</v>
      </c>
      <c r="G11" s="37">
        <v>-217545329.39744475</v>
      </c>
      <c r="H11" s="37">
        <v>-232876705.66072384</v>
      </c>
      <c r="I11" s="37">
        <v>-237277838.38690868</v>
      </c>
      <c r="J11" s="37">
        <v>-253241645.3318522</v>
      </c>
      <c r="K11" s="37">
        <v>-242908508.1890755</v>
      </c>
      <c r="L11" s="37">
        <v>-259685503.67645589</v>
      </c>
      <c r="M11" s="37">
        <v>-265652943.22408617</v>
      </c>
      <c r="N11" s="37">
        <v>-288459097.89642239</v>
      </c>
      <c r="O11" s="37">
        <v>-290853405</v>
      </c>
      <c r="P11" s="37">
        <v>-292986163</v>
      </c>
      <c r="Q11" s="37">
        <v>-292009218</v>
      </c>
      <c r="R11" s="37">
        <v>-312199736</v>
      </c>
      <c r="S11" s="37">
        <v>-305850184.10409498</v>
      </c>
      <c r="T11" s="37">
        <v>-325904467</v>
      </c>
      <c r="U11" s="37">
        <v>-375054082</v>
      </c>
      <c r="V11" s="37">
        <v>-414497574.21823001</v>
      </c>
      <c r="W11" s="37">
        <v>-420956067</v>
      </c>
      <c r="X11" s="37">
        <v>-451685247</v>
      </c>
      <c r="Y11" s="37">
        <v>-459657437</v>
      </c>
      <c r="Z11" s="37">
        <v>-484210146</v>
      </c>
      <c r="AA11" s="37">
        <v>-463028951</v>
      </c>
      <c r="AB11" s="37">
        <v>-486739663</v>
      </c>
      <c r="AC11" s="37">
        <v>-483222512</v>
      </c>
      <c r="AD11" s="37">
        <v>-534436674</v>
      </c>
      <c r="AE11" s="1541"/>
      <c r="AF11" s="37">
        <v>-217545329.39744475</v>
      </c>
      <c r="AG11" s="37">
        <v>-232876705.66072384</v>
      </c>
      <c r="AH11" s="37">
        <v>-237277838.38690868</v>
      </c>
      <c r="AI11" s="37">
        <v>-253241645.20623577</v>
      </c>
      <c r="AJ11" s="37">
        <v>-242908508.1890755</v>
      </c>
      <c r="AK11" s="37">
        <v>-259685503.67645589</v>
      </c>
      <c r="AL11" s="37">
        <v>-265652943.22408617</v>
      </c>
      <c r="AM11" s="37">
        <v>-288459097.89642239</v>
      </c>
      <c r="AN11" s="37">
        <v>-290853405</v>
      </c>
      <c r="AO11" s="37">
        <v>-292986163</v>
      </c>
      <c r="AP11" s="37">
        <v>-292009218</v>
      </c>
      <c r="AQ11" s="37">
        <v>-312172902</v>
      </c>
      <c r="AR11" s="37">
        <v>-305847056.10409498</v>
      </c>
      <c r="AS11" s="37">
        <v>-325892503</v>
      </c>
      <c r="AT11" s="37">
        <v>-375021775.701805</v>
      </c>
      <c r="AU11" s="37">
        <v>-414518238.218229</v>
      </c>
      <c r="AV11" s="37">
        <v>-420943346</v>
      </c>
      <c r="AW11" s="37">
        <v>-450975750</v>
      </c>
      <c r="AX11" s="37">
        <v>-459249809</v>
      </c>
      <c r="AY11" s="4">
        <v>-483824669</v>
      </c>
      <c r="AZ11" s="37">
        <v>-462635083</v>
      </c>
      <c r="BA11" s="37">
        <v>-486299827</v>
      </c>
      <c r="BB11" s="37">
        <v>-482642061</v>
      </c>
      <c r="BC11" s="37">
        <v>-533925064</v>
      </c>
    </row>
    <row r="12" spans="2:65" s="43" customFormat="1">
      <c r="B12" s="41" t="s">
        <v>21</v>
      </c>
      <c r="C12" s="42">
        <f t="shared" ref="C12:T12" si="0">C7+C11</f>
        <v>68276651</v>
      </c>
      <c r="D12" s="42">
        <f t="shared" si="0"/>
        <v>76971623</v>
      </c>
      <c r="E12" s="42">
        <f t="shared" si="0"/>
        <v>71396916</v>
      </c>
      <c r="F12" s="42">
        <f t="shared" si="0"/>
        <v>72852359</v>
      </c>
      <c r="G12" s="42">
        <f t="shared" si="0"/>
        <v>71016039.602555245</v>
      </c>
      <c r="H12" s="42">
        <f t="shared" si="0"/>
        <v>73824474.339276165</v>
      </c>
      <c r="I12" s="42">
        <f t="shared" si="0"/>
        <v>72833993.61309132</v>
      </c>
      <c r="J12" s="42">
        <f t="shared" si="0"/>
        <v>78399430.668147802</v>
      </c>
      <c r="K12" s="42">
        <f t="shared" si="0"/>
        <v>74333281.8109245</v>
      </c>
      <c r="L12" s="42">
        <f t="shared" si="0"/>
        <v>80989344.323544115</v>
      </c>
      <c r="M12" s="42">
        <f t="shared" si="0"/>
        <v>76929889.775913835</v>
      </c>
      <c r="N12" s="42">
        <f t="shared" si="0"/>
        <v>79746824.767389953</v>
      </c>
      <c r="O12" s="42">
        <f t="shared" si="0"/>
        <v>85184821.241822362</v>
      </c>
      <c r="P12" s="42">
        <f t="shared" si="0"/>
        <v>94336847.045137584</v>
      </c>
      <c r="Q12" s="42">
        <f t="shared" si="0"/>
        <v>91179727.207162738</v>
      </c>
      <c r="R12" s="42">
        <f t="shared" si="0"/>
        <v>95027434.257955432</v>
      </c>
      <c r="S12" s="42">
        <f t="shared" si="0"/>
        <v>92038822.663853526</v>
      </c>
      <c r="T12" s="42">
        <f t="shared" si="0"/>
        <v>98436963</v>
      </c>
      <c r="U12" s="42">
        <f>U7+U11+1</f>
        <v>114241974.92810798</v>
      </c>
      <c r="V12" s="42">
        <f>V7+V11-1</f>
        <v>130054883.04895425</v>
      </c>
      <c r="W12" s="42">
        <f t="shared" ref="W12:AB12" si="1">W7+W11</f>
        <v>126751611.18775737</v>
      </c>
      <c r="X12" s="42">
        <f t="shared" si="1"/>
        <v>136872869.0343529</v>
      </c>
      <c r="Y12" s="42">
        <f t="shared" si="1"/>
        <v>134764966.89096618</v>
      </c>
      <c r="Z12" s="42">
        <f t="shared" si="1"/>
        <v>137098079.01175594</v>
      </c>
      <c r="AA12" s="42">
        <f t="shared" si="1"/>
        <v>133768139</v>
      </c>
      <c r="AB12" s="42">
        <f t="shared" si="1"/>
        <v>145919228</v>
      </c>
      <c r="AC12" s="42">
        <f t="shared" ref="AC12:AD12" si="2">AC7+AC11</f>
        <v>145262934</v>
      </c>
      <c r="AD12" s="42">
        <f t="shared" si="2"/>
        <v>152310673.49907303</v>
      </c>
      <c r="AE12" s="1541"/>
      <c r="AF12" s="42">
        <f t="shared" ref="AF12:BA12" si="3">AF7+AF11</f>
        <v>71016039.602555245</v>
      </c>
      <c r="AG12" s="42">
        <f t="shared" si="3"/>
        <v>73824474.339276165</v>
      </c>
      <c r="AH12" s="42">
        <f t="shared" si="3"/>
        <v>72833993.61309132</v>
      </c>
      <c r="AI12" s="42">
        <f t="shared" si="3"/>
        <v>78399431.788634896</v>
      </c>
      <c r="AJ12" s="42">
        <f t="shared" si="3"/>
        <v>74333281.8109245</v>
      </c>
      <c r="AK12" s="42">
        <f t="shared" si="3"/>
        <v>80989344.323544115</v>
      </c>
      <c r="AL12" s="42">
        <f t="shared" si="3"/>
        <v>76929889.775913835</v>
      </c>
      <c r="AM12" s="42">
        <f t="shared" si="3"/>
        <v>79746824.767389953</v>
      </c>
      <c r="AN12" s="42">
        <f t="shared" si="3"/>
        <v>85184821.241822362</v>
      </c>
      <c r="AO12" s="42">
        <f t="shared" si="3"/>
        <v>94336847.045137584</v>
      </c>
      <c r="AP12" s="42">
        <f t="shared" si="3"/>
        <v>91179727.207162738</v>
      </c>
      <c r="AQ12" s="42">
        <f t="shared" si="3"/>
        <v>95054268.257955432</v>
      </c>
      <c r="AR12" s="42">
        <f t="shared" si="3"/>
        <v>92041951.191717148</v>
      </c>
      <c r="AS12" s="42">
        <f t="shared" si="3"/>
        <v>98448926</v>
      </c>
      <c r="AT12" s="42">
        <f t="shared" si="3"/>
        <v>114274280.12494403</v>
      </c>
      <c r="AU12" s="42">
        <f t="shared" si="3"/>
        <v>130034220.04895526</v>
      </c>
      <c r="AV12" s="42">
        <f t="shared" si="3"/>
        <v>126764332.18775737</v>
      </c>
      <c r="AW12" s="42">
        <f t="shared" si="3"/>
        <v>137582366.0343529</v>
      </c>
      <c r="AX12" s="42">
        <f t="shared" si="3"/>
        <v>135172594.89096618</v>
      </c>
      <c r="AY12" s="42">
        <f t="shared" si="3"/>
        <v>137483556.01175594</v>
      </c>
      <c r="AZ12" s="42">
        <f t="shared" si="3"/>
        <v>134162007</v>
      </c>
      <c r="BA12" s="42">
        <f t="shared" si="3"/>
        <v>146359064</v>
      </c>
      <c r="BB12" s="42">
        <f t="shared" ref="BB12:BC12" si="4">BB7+BB11</f>
        <v>145843385</v>
      </c>
      <c r="BC12" s="42">
        <f t="shared" si="4"/>
        <v>152822283</v>
      </c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2:65">
      <c r="B13" s="44" t="s">
        <v>37</v>
      </c>
      <c r="C13" s="45">
        <f t="shared" ref="C13:AB13" si="5">C12/C7</f>
        <v>0.25573400103008026</v>
      </c>
      <c r="D13" s="45">
        <f t="shared" si="5"/>
        <v>0.26722383797176852</v>
      </c>
      <c r="E13" s="45">
        <f t="shared" si="5"/>
        <v>0.249673961204187</v>
      </c>
      <c r="F13" s="45">
        <f t="shared" si="5"/>
        <v>0.24097048575606073</v>
      </c>
      <c r="G13" s="45">
        <f t="shared" si="5"/>
        <v>0.24610376589444044</v>
      </c>
      <c r="H13" s="45">
        <f t="shared" si="5"/>
        <v>0.24070489177536311</v>
      </c>
      <c r="I13" s="45">
        <f t="shared" si="5"/>
        <v>0.23486363981459218</v>
      </c>
      <c r="J13" s="45">
        <f t="shared" si="5"/>
        <v>0.23639843294968624</v>
      </c>
      <c r="K13" s="45">
        <f t="shared" si="5"/>
        <v>0.23431112846426852</v>
      </c>
      <c r="L13" s="45">
        <f t="shared" si="5"/>
        <v>0.23773209204908521</v>
      </c>
      <c r="M13" s="45">
        <f t="shared" si="5"/>
        <v>0.22455850779864919</v>
      </c>
      <c r="N13" s="45">
        <f t="shared" si="5"/>
        <v>0.21658213477517088</v>
      </c>
      <c r="O13" s="45">
        <f t="shared" si="5"/>
        <v>0.22653234511068504</v>
      </c>
      <c r="P13" s="45">
        <f t="shared" si="5"/>
        <v>0.24356117400343402</v>
      </c>
      <c r="Q13" s="45">
        <f t="shared" si="5"/>
        <v>0.23794978521070959</v>
      </c>
      <c r="R13" s="45">
        <f t="shared" si="5"/>
        <v>0.23335239197758076</v>
      </c>
      <c r="S13" s="45">
        <f t="shared" si="5"/>
        <v>0.23131783260735117</v>
      </c>
      <c r="T13" s="45">
        <f t="shared" si="5"/>
        <v>0.2319758478449771</v>
      </c>
      <c r="U13" s="45">
        <f t="shared" si="5"/>
        <v>0.23348231309858236</v>
      </c>
      <c r="V13" s="45">
        <f t="shared" si="5"/>
        <v>0.23882893387865842</v>
      </c>
      <c r="W13" s="45">
        <f t="shared" si="5"/>
        <v>0.2314220089211643</v>
      </c>
      <c r="X13" s="45">
        <f t="shared" si="5"/>
        <v>0.23255625112535858</v>
      </c>
      <c r="Y13" s="45">
        <f t="shared" si="5"/>
        <v>0.22671582700924892</v>
      </c>
      <c r="Z13" s="45">
        <f t="shared" si="5"/>
        <v>0.22066033168828864</v>
      </c>
      <c r="AA13" s="45">
        <f t="shared" si="5"/>
        <v>0.22414341698616527</v>
      </c>
      <c r="AB13" s="45">
        <f t="shared" si="5"/>
        <v>0.23064439633394798</v>
      </c>
      <c r="AC13" s="45">
        <f t="shared" ref="AC13:AD13" si="6">AC12/AC7</f>
        <v>0.2311317388883497</v>
      </c>
      <c r="AD13" s="45">
        <f t="shared" si="6"/>
        <v>0.22178560143514586</v>
      </c>
      <c r="AE13" s="1541"/>
      <c r="AF13" s="45">
        <f t="shared" ref="AF13:BA13" si="7">AF12/AF7</f>
        <v>0.24610376589444044</v>
      </c>
      <c r="AG13" s="45">
        <f t="shared" si="7"/>
        <v>0.24070489177536311</v>
      </c>
      <c r="AH13" s="45">
        <f t="shared" si="7"/>
        <v>0.23486363981459218</v>
      </c>
      <c r="AI13" s="45">
        <f t="shared" si="7"/>
        <v>0.23639843561914214</v>
      </c>
      <c r="AJ13" s="45">
        <f t="shared" si="7"/>
        <v>0.23431112846426852</v>
      </c>
      <c r="AK13" s="45">
        <f t="shared" si="7"/>
        <v>0.23773209204908521</v>
      </c>
      <c r="AL13" s="45">
        <f t="shared" si="7"/>
        <v>0.22455850779864919</v>
      </c>
      <c r="AM13" s="45">
        <f t="shared" si="7"/>
        <v>0.21658213477517088</v>
      </c>
      <c r="AN13" s="45">
        <f t="shared" si="7"/>
        <v>0.22653234511068504</v>
      </c>
      <c r="AO13" s="45">
        <f t="shared" si="7"/>
        <v>0.24356117400343402</v>
      </c>
      <c r="AP13" s="45">
        <f t="shared" si="7"/>
        <v>0.23794978521070959</v>
      </c>
      <c r="AQ13" s="45">
        <f t="shared" si="7"/>
        <v>0.23341828640201959</v>
      </c>
      <c r="AR13" s="45">
        <f t="shared" si="7"/>
        <v>0.23132569511599552</v>
      </c>
      <c r="AS13" s="45">
        <f t="shared" si="7"/>
        <v>0.23200404031254748</v>
      </c>
      <c r="AT13" s="45">
        <f t="shared" si="7"/>
        <v>0.23354833697128044</v>
      </c>
      <c r="AU13" s="45">
        <f t="shared" si="7"/>
        <v>0.23879098895767736</v>
      </c>
      <c r="AV13" s="45">
        <f t="shared" si="7"/>
        <v>0.23144523481429419</v>
      </c>
      <c r="AW13" s="45">
        <f t="shared" si="7"/>
        <v>0.23376173445940979</v>
      </c>
      <c r="AX13" s="45">
        <f t="shared" si="7"/>
        <v>0.22740158178116154</v>
      </c>
      <c r="AY13" s="45">
        <f t="shared" si="7"/>
        <v>0.22128075965701979</v>
      </c>
      <c r="AZ13" s="45">
        <f t="shared" si="7"/>
        <v>0.22480338669211675</v>
      </c>
      <c r="BA13" s="45">
        <f t="shared" si="7"/>
        <v>0.23133961457280777</v>
      </c>
      <c r="BB13" s="45">
        <f t="shared" ref="BB13:BC13" si="8">BB12/BB7</f>
        <v>0.23205530999678869</v>
      </c>
      <c r="BC13" s="45">
        <f t="shared" si="8"/>
        <v>0.22253057644502267</v>
      </c>
    </row>
    <row r="14" spans="2:65" ht="25.5">
      <c r="B14" s="36" t="s">
        <v>1145</v>
      </c>
      <c r="C14" s="37"/>
      <c r="D14" s="37"/>
      <c r="E14" s="37"/>
      <c r="F14" s="37"/>
      <c r="G14" s="37"/>
      <c r="H14" s="37"/>
      <c r="I14" s="37"/>
      <c r="J14" s="37"/>
      <c r="K14" s="37">
        <f t="shared" ref="K14:R14" si="9">K15+K16</f>
        <v>-69768185</v>
      </c>
      <c r="L14" s="37">
        <f t="shared" si="9"/>
        <v>-72881387</v>
      </c>
      <c r="M14" s="37">
        <f t="shared" si="9"/>
        <v>-71984281.601112604</v>
      </c>
      <c r="N14" s="37">
        <f t="shared" si="9"/>
        <v>-76920699.398887396</v>
      </c>
      <c r="O14" s="37">
        <f t="shared" si="9"/>
        <v>-77449158</v>
      </c>
      <c r="P14" s="37">
        <f t="shared" si="9"/>
        <v>-78877582</v>
      </c>
      <c r="Q14" s="37">
        <f t="shared" si="9"/>
        <v>-78428513</v>
      </c>
      <c r="R14" s="37">
        <f t="shared" si="9"/>
        <v>-83404228</v>
      </c>
      <c r="S14" s="37">
        <f>-80501318.8959047-4</f>
        <v>-80501322.895904705</v>
      </c>
      <c r="T14" s="37">
        <f>-86512240+1063643</f>
        <v>-85448597</v>
      </c>
      <c r="U14" s="37">
        <f>-99694326+1170103+38139-1578</f>
        <v>-98487662</v>
      </c>
      <c r="V14" s="37">
        <v>-114275786.50296199</v>
      </c>
      <c r="W14" s="37">
        <v>-110337431</v>
      </c>
      <c r="X14" s="37">
        <v>-113399406.485581</v>
      </c>
      <c r="Y14" s="37">
        <v>-115634159.145981</v>
      </c>
      <c r="Z14" s="37">
        <v>-154960578.85708699</v>
      </c>
      <c r="AA14" s="37">
        <v>-119468036.074645</v>
      </c>
      <c r="AB14" s="37">
        <v>-124646161.29005501</v>
      </c>
      <c r="AC14" s="37">
        <v>-125505107</v>
      </c>
      <c r="AD14" s="37">
        <v>-142861874.84346199</v>
      </c>
      <c r="AE14" s="1541"/>
      <c r="AF14" s="37"/>
      <c r="AG14" s="37"/>
      <c r="AH14" s="37"/>
      <c r="AI14" s="37"/>
      <c r="AJ14" s="37"/>
      <c r="AK14" s="37"/>
      <c r="AL14" s="37"/>
      <c r="AM14" s="37"/>
      <c r="AN14" s="37">
        <f>AN15+AN16</f>
        <v>-72102542</v>
      </c>
      <c r="AO14" s="37">
        <f>AO15+AO16</f>
        <v>-73473705</v>
      </c>
      <c r="AP14" s="37">
        <f>AP15+AP16</f>
        <v>-72557524</v>
      </c>
      <c r="AQ14" s="37">
        <f>AQ15+AQ16</f>
        <v>-78291667</v>
      </c>
      <c r="AR14" s="37">
        <v>-74678060.89590466</v>
      </c>
      <c r="AS14" s="37">
        <v>-78809993</v>
      </c>
      <c r="AT14" s="37">
        <v>-91595638</v>
      </c>
      <c r="AU14" s="37">
        <v>-107397650.069506</v>
      </c>
      <c r="AV14" s="37">
        <v>-102997112</v>
      </c>
      <c r="AW14" s="37">
        <v>-106160894.673298</v>
      </c>
      <c r="AX14" s="37">
        <v>-107945741.253169</v>
      </c>
      <c r="AY14" s="4">
        <v>-147038260</v>
      </c>
      <c r="AZ14" s="37">
        <v>-111174279.999312</v>
      </c>
      <c r="BA14" s="37">
        <v>-115993360.127112</v>
      </c>
      <c r="BB14" s="37">
        <v>-116555995</v>
      </c>
      <c r="BC14" s="37">
        <v>-133521086</v>
      </c>
    </row>
    <row r="15" spans="2:65" s="1480" customFormat="1" hidden="1">
      <c r="B15" s="1481" t="s">
        <v>63</v>
      </c>
      <c r="C15" s="1482">
        <v>-3260923</v>
      </c>
      <c r="D15" s="1482">
        <v>-4490834</v>
      </c>
      <c r="E15" s="1482">
        <v>-4204823</v>
      </c>
      <c r="F15" s="1482">
        <v>-3672620</v>
      </c>
      <c r="G15" s="1482">
        <v>-4109603</v>
      </c>
      <c r="H15" s="1482">
        <v>-3237479</v>
      </c>
      <c r="I15" s="1482">
        <v>-3622035</v>
      </c>
      <c r="J15" s="1482">
        <v>-5100829</v>
      </c>
      <c r="K15" s="1482">
        <v>-3889090</v>
      </c>
      <c r="L15" s="1482">
        <v>-4277965</v>
      </c>
      <c r="M15" s="1482">
        <v>-3690471</v>
      </c>
      <c r="N15" s="1482">
        <v>-3828853</v>
      </c>
      <c r="O15" s="1482">
        <v>-3248876</v>
      </c>
      <c r="P15" s="1482">
        <v>-3310392</v>
      </c>
      <c r="Q15" s="1482">
        <v>-3642720</v>
      </c>
      <c r="R15" s="1482">
        <v>-6685135</v>
      </c>
      <c r="S15" s="1482"/>
      <c r="T15" s="1482"/>
      <c r="U15" s="1482"/>
      <c r="V15" s="1482"/>
      <c r="W15" s="1482"/>
      <c r="X15" s="1482"/>
      <c r="Y15" s="1482"/>
      <c r="Z15" s="1482"/>
      <c r="AA15" s="1482"/>
      <c r="AB15" s="1482"/>
      <c r="AC15" s="1482"/>
      <c r="AD15" s="1482"/>
      <c r="AE15" s="1541"/>
      <c r="AF15" s="1482">
        <v>-4109603</v>
      </c>
      <c r="AG15" s="1482">
        <v>-3237479</v>
      </c>
      <c r="AH15" s="1482">
        <v>-3622035</v>
      </c>
      <c r="AI15" s="1482">
        <v>-5100829.4119600002</v>
      </c>
      <c r="AJ15" s="1482">
        <v>-3889090</v>
      </c>
      <c r="AK15" s="1482">
        <v>-4277965</v>
      </c>
      <c r="AL15" s="1482">
        <v>-3690471</v>
      </c>
      <c r="AM15" s="1482">
        <v>-3828853</v>
      </c>
      <c r="AN15" s="1482">
        <v>-3248876</v>
      </c>
      <c r="AO15" s="1482">
        <v>-3310392</v>
      </c>
      <c r="AP15" s="1482">
        <v>-3642720</v>
      </c>
      <c r="AQ15" s="1482">
        <v>-6685135</v>
      </c>
      <c r="AR15" s="1482"/>
      <c r="AS15" s="1482"/>
      <c r="AT15" s="1482"/>
      <c r="AU15" s="1482"/>
      <c r="AV15" s="1482"/>
      <c r="AW15" s="1482"/>
      <c r="AX15" s="1482"/>
      <c r="AY15" s="4"/>
      <c r="AZ15" s="1482"/>
      <c r="BA15" s="1482"/>
      <c r="BB15" s="1482"/>
      <c r="BC15" s="1482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2:65" s="1480" customFormat="1" ht="25.5" hidden="1">
      <c r="B16" s="1481" t="s">
        <v>64</v>
      </c>
      <c r="C16" s="1482">
        <v>-54225388</v>
      </c>
      <c r="D16" s="1482">
        <v>-55029941</v>
      </c>
      <c r="E16" s="1482">
        <v>-57368564</v>
      </c>
      <c r="F16" s="1482">
        <v>-59005958</v>
      </c>
      <c r="G16" s="1482">
        <v>-57316383</v>
      </c>
      <c r="H16" s="1482">
        <v>-57236177</v>
      </c>
      <c r="I16" s="1482">
        <v>-60217175</v>
      </c>
      <c r="J16" s="1482">
        <v>-62939659</v>
      </c>
      <c r="K16" s="1482">
        <v>-65879095</v>
      </c>
      <c r="L16" s="1482">
        <v>-68603422</v>
      </c>
      <c r="M16" s="1482">
        <v>-68293810.601112604</v>
      </c>
      <c r="N16" s="1482">
        <v>-73091846.398887396</v>
      </c>
      <c r="O16" s="1482">
        <v>-74200282</v>
      </c>
      <c r="P16" s="1482">
        <v>-75567190</v>
      </c>
      <c r="Q16" s="1482">
        <v>-74785793</v>
      </c>
      <c r="R16" s="1482">
        <v>-76719093</v>
      </c>
      <c r="S16" s="1482"/>
      <c r="T16" s="1482"/>
      <c r="U16" s="1482"/>
      <c r="V16" s="1482"/>
      <c r="W16" s="1482"/>
      <c r="X16" s="1482"/>
      <c r="Y16" s="1482"/>
      <c r="Z16" s="1482"/>
      <c r="AA16" s="1482"/>
      <c r="AB16" s="1482"/>
      <c r="AC16" s="1482"/>
      <c r="AD16" s="1482"/>
      <c r="AE16" s="1541"/>
      <c r="AF16" s="1482">
        <v>-53295080</v>
      </c>
      <c r="AG16" s="1482">
        <v>-52073362</v>
      </c>
      <c r="AH16" s="1482">
        <v>-55468735</v>
      </c>
      <c r="AI16" s="1482">
        <v>-59907619.770089626</v>
      </c>
      <c r="AJ16" s="1482">
        <v>-60537557</v>
      </c>
      <c r="AK16" s="1482">
        <v>-65699176</v>
      </c>
      <c r="AL16" s="1482">
        <v>-63343697.601112641</v>
      </c>
      <c r="AM16" s="1482">
        <v>-65381242.398887366</v>
      </c>
      <c r="AN16" s="1482">
        <v>-68853666</v>
      </c>
      <c r="AO16" s="1482">
        <v>-70163313</v>
      </c>
      <c r="AP16" s="1482">
        <v>-68914804</v>
      </c>
      <c r="AQ16" s="1482">
        <v>-71606532</v>
      </c>
      <c r="AR16" s="1482"/>
      <c r="AS16" s="1482"/>
      <c r="AT16" s="1482"/>
      <c r="AU16" s="1482"/>
      <c r="AV16" s="1482"/>
      <c r="AW16" s="1482"/>
      <c r="AX16" s="1482"/>
      <c r="AY16" s="4"/>
      <c r="AZ16" s="1482"/>
      <c r="BA16" s="1482"/>
      <c r="BB16" s="1482"/>
      <c r="BC16" s="1482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2:65">
      <c r="B17" s="36" t="s">
        <v>1098</v>
      </c>
      <c r="C17" s="37">
        <v>1039964</v>
      </c>
      <c r="D17" s="37">
        <v>1689375</v>
      </c>
      <c r="E17" s="37">
        <v>1723506</v>
      </c>
      <c r="F17" s="37">
        <v>2570940</v>
      </c>
      <c r="G17" s="37">
        <v>1704877</v>
      </c>
      <c r="H17" s="37">
        <v>1236834</v>
      </c>
      <c r="I17" s="37">
        <v>2368023</v>
      </c>
      <c r="J17" s="37">
        <v>2493073</v>
      </c>
      <c r="K17" s="37">
        <v>1844473</v>
      </c>
      <c r="L17" s="37">
        <v>3694507</v>
      </c>
      <c r="M17" s="37">
        <v>3223849</v>
      </c>
      <c r="N17" s="37">
        <v>3972397</v>
      </c>
      <c r="O17" s="37">
        <v>2894742</v>
      </c>
      <c r="P17" s="37">
        <v>2497177</v>
      </c>
      <c r="Q17" s="37">
        <v>3323850</v>
      </c>
      <c r="R17" s="37">
        <v>4054982</v>
      </c>
      <c r="S17" s="37">
        <v>4585065</v>
      </c>
      <c r="T17" s="37">
        <v>3880421</v>
      </c>
      <c r="U17" s="37">
        <v>4426869</v>
      </c>
      <c r="V17" s="37">
        <v>6681355.0356030697</v>
      </c>
      <c r="W17" s="37">
        <v>5011382</v>
      </c>
      <c r="X17" s="37">
        <v>2277026</v>
      </c>
      <c r="Y17" s="37">
        <v>4523340</v>
      </c>
      <c r="Z17" s="37">
        <v>7104181</v>
      </c>
      <c r="AA17" s="37">
        <v>5107381</v>
      </c>
      <c r="AB17" s="37">
        <f>5831849-0.59</f>
        <v>5831848.4100000001</v>
      </c>
      <c r="AC17" s="37">
        <v>6507020</v>
      </c>
      <c r="AD17" s="37">
        <v>10387328</v>
      </c>
      <c r="AE17" s="1541"/>
      <c r="AF17" s="37">
        <v>1704877</v>
      </c>
      <c r="AG17" s="37">
        <v>2150179</v>
      </c>
      <c r="AH17" s="37">
        <v>2591636</v>
      </c>
      <c r="AI17" s="37">
        <v>3160294.7800967009</v>
      </c>
      <c r="AJ17" s="37">
        <v>1844473</v>
      </c>
      <c r="AK17" s="37">
        <v>4293220</v>
      </c>
      <c r="AL17" s="37">
        <v>3673320</v>
      </c>
      <c r="AM17" s="37">
        <v>4909392.9999999963</v>
      </c>
      <c r="AN17" s="37">
        <v>3494542</v>
      </c>
      <c r="AO17" s="37">
        <v>3782079</v>
      </c>
      <c r="AP17" s="37">
        <v>3691903</v>
      </c>
      <c r="AQ17" s="37">
        <v>4971653</v>
      </c>
      <c r="AR17" s="37">
        <v>4962313</v>
      </c>
      <c r="AS17" s="37">
        <v>5438160</v>
      </c>
      <c r="AT17" s="37">
        <v>4980277.3642354095</v>
      </c>
      <c r="AU17" s="37">
        <v>7102782.6357645905</v>
      </c>
      <c r="AV17" s="37">
        <v>5368091</v>
      </c>
      <c r="AW17" s="37">
        <v>3173302</v>
      </c>
      <c r="AX17" s="37">
        <v>4721431</v>
      </c>
      <c r="AY17" s="4">
        <v>7218033</v>
      </c>
      <c r="AZ17" s="37">
        <v>5191449</v>
      </c>
      <c r="BA17" s="37">
        <f>6069243-0.59</f>
        <v>6069242.4100000001</v>
      </c>
      <c r="BB17" s="37">
        <v>6660601</v>
      </c>
      <c r="BC17" s="37">
        <v>10626096.5</v>
      </c>
    </row>
    <row r="18" spans="2:65">
      <c r="B18" s="36" t="s">
        <v>1092</v>
      </c>
      <c r="C18" s="37">
        <v>655719</v>
      </c>
      <c r="D18" s="37">
        <v>661639</v>
      </c>
      <c r="E18" s="37">
        <v>657198</v>
      </c>
      <c r="F18" s="37">
        <v>691419</v>
      </c>
      <c r="G18" s="37">
        <v>712884</v>
      </c>
      <c r="H18" s="37">
        <v>731164</v>
      </c>
      <c r="I18" s="37">
        <v>738571</v>
      </c>
      <c r="J18" s="37">
        <v>760001</v>
      </c>
      <c r="K18" s="37">
        <v>793105</v>
      </c>
      <c r="L18" s="37">
        <v>768103</v>
      </c>
      <c r="M18" s="37">
        <v>775629</v>
      </c>
      <c r="N18" s="37">
        <v>807160</v>
      </c>
      <c r="O18" s="37">
        <v>830240</v>
      </c>
      <c r="P18" s="37">
        <v>719946</v>
      </c>
      <c r="Q18" s="37">
        <v>765547</v>
      </c>
      <c r="R18" s="37">
        <v>837510</v>
      </c>
      <c r="S18" s="37">
        <v>833590</v>
      </c>
      <c r="T18" s="37">
        <v>869771</v>
      </c>
      <c r="U18" s="37">
        <f>1159483</f>
        <v>1159483</v>
      </c>
      <c r="V18" s="37">
        <v>1263293.90816968</v>
      </c>
      <c r="W18" s="37">
        <v>1174032</v>
      </c>
      <c r="X18" s="37">
        <v>1226659.9501883299</v>
      </c>
      <c r="Y18" s="37">
        <v>1111690.0498116701</v>
      </c>
      <c r="Z18" s="37">
        <v>1191854</v>
      </c>
      <c r="AA18" s="37">
        <v>1212040</v>
      </c>
      <c r="AB18" s="37">
        <v>1271881</v>
      </c>
      <c r="AC18" s="37">
        <v>1304019</v>
      </c>
      <c r="AD18" s="37">
        <v>1242029</v>
      </c>
      <c r="AE18" s="1541"/>
      <c r="AF18" s="37">
        <v>712884</v>
      </c>
      <c r="AG18" s="37">
        <v>731164</v>
      </c>
      <c r="AH18" s="37">
        <v>738571</v>
      </c>
      <c r="AI18" s="37">
        <v>760001</v>
      </c>
      <c r="AJ18" s="37">
        <v>793105</v>
      </c>
      <c r="AK18" s="37">
        <v>768103</v>
      </c>
      <c r="AL18" s="37">
        <v>775629</v>
      </c>
      <c r="AM18" s="37">
        <v>807160</v>
      </c>
      <c r="AN18" s="37">
        <v>830240</v>
      </c>
      <c r="AO18" s="37">
        <v>719946</v>
      </c>
      <c r="AP18" s="37">
        <v>765547</v>
      </c>
      <c r="AQ18" s="37">
        <v>837510</v>
      </c>
      <c r="AR18" s="37">
        <v>833590</v>
      </c>
      <c r="AS18" s="37">
        <v>869771</v>
      </c>
      <c r="AT18" s="37">
        <v>1152282.2706869601</v>
      </c>
      <c r="AU18" s="37">
        <v>1255140.7293130399</v>
      </c>
      <c r="AV18" s="37">
        <v>1164090</v>
      </c>
      <c r="AW18" s="37">
        <v>1219495.9844599999</v>
      </c>
      <c r="AX18" s="37">
        <v>1103824</v>
      </c>
      <c r="AY18" s="4">
        <v>1187415</v>
      </c>
      <c r="AZ18" s="37">
        <v>1211027</v>
      </c>
      <c r="BA18" s="37">
        <v>1270869</v>
      </c>
      <c r="BB18" s="37">
        <v>1303599</v>
      </c>
      <c r="BC18" s="37">
        <v>1242030</v>
      </c>
    </row>
    <row r="19" spans="2:65" s="43" customFormat="1">
      <c r="B19" s="41" t="s">
        <v>184</v>
      </c>
      <c r="C19" s="42">
        <f>SUM(C12,C15,C16,C17,C18)</f>
        <v>12486023</v>
      </c>
      <c r="D19" s="42">
        <f t="shared" ref="D19:N19" si="10">SUM(D12,D15,D16,D17,D18)</f>
        <v>19801862</v>
      </c>
      <c r="E19" s="42">
        <f t="shared" si="10"/>
        <v>12204233</v>
      </c>
      <c r="F19" s="42">
        <f t="shared" si="10"/>
        <v>13436140</v>
      </c>
      <c r="G19" s="42">
        <f t="shared" si="10"/>
        <v>12007814.602555245</v>
      </c>
      <c r="H19" s="42">
        <f t="shared" si="10"/>
        <v>15318816.339276165</v>
      </c>
      <c r="I19" s="42">
        <f t="shared" si="10"/>
        <v>12101377.61309132</v>
      </c>
      <c r="J19" s="42">
        <f t="shared" si="10"/>
        <v>13612016.668147802</v>
      </c>
      <c r="K19" s="42">
        <f t="shared" si="10"/>
        <v>7202674.8109245002</v>
      </c>
      <c r="L19" s="42">
        <f t="shared" si="10"/>
        <v>12570567.323544115</v>
      </c>
      <c r="M19" s="42">
        <f t="shared" si="10"/>
        <v>8945086.1748012304</v>
      </c>
      <c r="N19" s="42">
        <f t="shared" si="10"/>
        <v>7605682.3685025573</v>
      </c>
      <c r="O19" s="42">
        <f>SUM(O12,O15,O16,O17,O18)</f>
        <v>11460645.241822362</v>
      </c>
      <c r="P19" s="42">
        <f>SUM(P12,P15,P16,P17,P18)</f>
        <v>18676388.045137584</v>
      </c>
      <c r="Q19" s="42">
        <f>SUM(Q12,Q15,Q16,Q17,Q18)</f>
        <v>16840611.207162738</v>
      </c>
      <c r="R19" s="42">
        <f>SUM(R12,R15,R16,R17,R18)</f>
        <v>16515698.257955432</v>
      </c>
      <c r="S19" s="42">
        <f>SUM(S12,S14,S17,S18)</f>
        <v>16956154.767948821</v>
      </c>
      <c r="T19" s="42">
        <f>SUM(T12,T14,T17,T18)</f>
        <v>17738558</v>
      </c>
      <c r="U19" s="42">
        <f>SUM(U12,U14,U17,U18)+2</f>
        <v>21340666.928107977</v>
      </c>
      <c r="V19" s="42">
        <f>SUM(V12,V14,V17,V18)-1</f>
        <v>23723744.489765003</v>
      </c>
      <c r="W19" s="42">
        <f t="shared" ref="W19:AD19" si="11">SUM(W12,W14,W17,W18)</f>
        <v>22599594.187757373</v>
      </c>
      <c r="X19" s="42">
        <f t="shared" si="11"/>
        <v>26977148.498960234</v>
      </c>
      <c r="Y19" s="42">
        <f t="shared" si="11"/>
        <v>24765837.794796847</v>
      </c>
      <c r="Z19" s="42">
        <f t="shared" si="11"/>
        <v>-9566464.845331043</v>
      </c>
      <c r="AA19" s="42">
        <f t="shared" si="11"/>
        <v>20619523.925355002</v>
      </c>
      <c r="AB19" s="42">
        <f t="shared" si="11"/>
        <v>28376796.119944993</v>
      </c>
      <c r="AC19" s="42">
        <f t="shared" si="11"/>
        <v>27568866</v>
      </c>
      <c r="AD19" s="42">
        <f t="shared" si="11"/>
        <v>21078155.655611038</v>
      </c>
      <c r="AE19" s="1541"/>
      <c r="AF19" s="42">
        <f t="shared" ref="AF19:AK19" si="12">SUM(AF12,AF15,AF16,AF17,AF18)</f>
        <v>16029117.602555245</v>
      </c>
      <c r="AG19" s="42">
        <f t="shared" si="12"/>
        <v>21394976.339276165</v>
      </c>
      <c r="AH19" s="42">
        <f t="shared" si="12"/>
        <v>17073430.61309132</v>
      </c>
      <c r="AI19" s="42">
        <f t="shared" si="12"/>
        <v>17311278.386681966</v>
      </c>
      <c r="AJ19" s="42">
        <f t="shared" si="12"/>
        <v>12544212.8109245</v>
      </c>
      <c r="AK19" s="42">
        <f t="shared" si="12"/>
        <v>16073526.323544115</v>
      </c>
      <c r="AL19" s="42">
        <f t="shared" ref="AL19:AQ19" si="13">SUM(AL12,AL15,AL16,AL17,AL18)</f>
        <v>14344670.174801193</v>
      </c>
      <c r="AM19" s="42">
        <f t="shared" si="13"/>
        <v>16253282.368502583</v>
      </c>
      <c r="AN19" s="42">
        <f t="shared" si="13"/>
        <v>17407061.241822362</v>
      </c>
      <c r="AO19" s="42">
        <f t="shared" si="13"/>
        <v>25365167.045137584</v>
      </c>
      <c r="AP19" s="42">
        <f t="shared" si="13"/>
        <v>23079653.207162738</v>
      </c>
      <c r="AQ19" s="42">
        <f t="shared" si="13"/>
        <v>22571764.257955432</v>
      </c>
      <c r="AR19" s="42">
        <f t="shared" ref="AR19:AY19" si="14">SUM(AR12,AR14,AR17,AR18)</f>
        <v>23159793.295812488</v>
      </c>
      <c r="AS19" s="42">
        <f t="shared" si="14"/>
        <v>25946864</v>
      </c>
      <c r="AT19" s="42">
        <f t="shared" si="14"/>
        <v>28811201.759866402</v>
      </c>
      <c r="AU19" s="42">
        <f t="shared" si="14"/>
        <v>30994493.344526887</v>
      </c>
      <c r="AV19" s="42">
        <f t="shared" si="14"/>
        <v>30299401.187757373</v>
      </c>
      <c r="AW19" s="42">
        <f t="shared" si="14"/>
        <v>35814269.345514894</v>
      </c>
      <c r="AX19" s="42">
        <f t="shared" si="14"/>
        <v>33052108.637797177</v>
      </c>
      <c r="AY19" s="42">
        <f t="shared" si="14"/>
        <v>-1149255.9882440567</v>
      </c>
      <c r="AZ19" s="42">
        <f>SUM(AZ12,AZ14,AZ17,AZ18)</f>
        <v>29390203.000688002</v>
      </c>
      <c r="BA19" s="42">
        <f>SUM(BA12,BA14,BA17,BA18)</f>
        <v>37705815.282887995</v>
      </c>
      <c r="BB19" s="42">
        <f>SUM(BB12,BB14,BB17,BB18)</f>
        <v>37251590</v>
      </c>
      <c r="BC19" s="42">
        <f>SUM(BC12,BC14,BC17,BC18)</f>
        <v>31169323.5</v>
      </c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2:65">
      <c r="B20" s="36" t="s">
        <v>139</v>
      </c>
      <c r="C20" s="37">
        <v>425540</v>
      </c>
      <c r="D20" s="37">
        <v>-371107</v>
      </c>
      <c r="E20" s="37">
        <v>3427</v>
      </c>
      <c r="F20" s="37">
        <v>75820</v>
      </c>
      <c r="G20" s="37">
        <v>27422</v>
      </c>
      <c r="H20" s="37">
        <v>-730160</v>
      </c>
      <c r="I20" s="37">
        <v>-342329</v>
      </c>
      <c r="J20" s="37">
        <v>-370243</v>
      </c>
      <c r="K20" s="37">
        <v>528014</v>
      </c>
      <c r="L20" s="37">
        <v>112740</v>
      </c>
      <c r="M20" s="37">
        <v>-55061</v>
      </c>
      <c r="N20" s="37">
        <v>194870</v>
      </c>
      <c r="O20" s="37">
        <v>-1829518</v>
      </c>
      <c r="P20" s="37">
        <v>1005247</v>
      </c>
      <c r="Q20" s="37">
        <v>-905289</v>
      </c>
      <c r="R20" s="37">
        <v>419469</v>
      </c>
      <c r="S20" s="37">
        <f>-189981</f>
        <v>-189981</v>
      </c>
      <c r="T20" s="37">
        <f>634148+1</f>
        <v>634149</v>
      </c>
      <c r="U20" s="37">
        <v>8133</v>
      </c>
      <c r="V20" s="37">
        <f>-149908.7-1</f>
        <v>-149909.70000000001</v>
      </c>
      <c r="W20" s="37">
        <v>-4997141</v>
      </c>
      <c r="X20" s="37">
        <v>2885726</v>
      </c>
      <c r="Y20" s="37">
        <v>-1441178</v>
      </c>
      <c r="Z20" s="37">
        <v>3285146</v>
      </c>
      <c r="AA20" s="37">
        <v>2839516</v>
      </c>
      <c r="AB20" s="37">
        <v>3237567</v>
      </c>
      <c r="AC20" s="37">
        <v>4278523</v>
      </c>
      <c r="AD20" s="37">
        <v>-2126637</v>
      </c>
      <c r="AE20" s="1541"/>
      <c r="AF20" s="37">
        <v>27422</v>
      </c>
      <c r="AG20" s="37">
        <v>-730160</v>
      </c>
      <c r="AH20" s="37">
        <v>-342329</v>
      </c>
      <c r="AI20" s="37">
        <v>-478067.63306135149</v>
      </c>
      <c r="AJ20" s="37">
        <v>528014</v>
      </c>
      <c r="AK20" s="37">
        <v>112740</v>
      </c>
      <c r="AL20" s="37">
        <v>-41010</v>
      </c>
      <c r="AM20" s="37">
        <v>273090</v>
      </c>
      <c r="AN20" s="37">
        <v>-2017165</v>
      </c>
      <c r="AO20" s="37">
        <v>1097094</v>
      </c>
      <c r="AP20" s="37">
        <v>-1017886</v>
      </c>
      <c r="AQ20" s="37">
        <v>484626</v>
      </c>
      <c r="AR20" s="37">
        <v>-211497</v>
      </c>
      <c r="AS20" s="37">
        <v>665732</v>
      </c>
      <c r="AT20" s="37">
        <v>9204.9999000000007</v>
      </c>
      <c r="AU20" s="37">
        <v>-182695</v>
      </c>
      <c r="AV20" s="37">
        <v>-5214591</v>
      </c>
      <c r="AW20" s="37">
        <v>3308172</v>
      </c>
      <c r="AX20" s="37">
        <v>-1609002</v>
      </c>
      <c r="AY20" s="4">
        <v>3182145</v>
      </c>
      <c r="AZ20" s="37">
        <v>2901610</v>
      </c>
      <c r="BA20" s="37">
        <v>3235324</v>
      </c>
      <c r="BB20" s="37">
        <v>4252343</v>
      </c>
      <c r="BC20" s="37">
        <v>-2140204</v>
      </c>
    </row>
    <row r="21" spans="2:65" s="46" customFormat="1">
      <c r="B21" s="36" t="s">
        <v>1099</v>
      </c>
      <c r="C21" s="37">
        <v>-3261914</v>
      </c>
      <c r="D21" s="37">
        <v>-3018515</v>
      </c>
      <c r="E21" s="37">
        <v>-3153850</v>
      </c>
      <c r="F21" s="37">
        <v>-3203889</v>
      </c>
      <c r="G21" s="37">
        <v>-2356326</v>
      </c>
      <c r="H21" s="37">
        <v>-1908164</v>
      </c>
      <c r="I21" s="37">
        <v>-2094951</v>
      </c>
      <c r="J21" s="37">
        <v>-2566505</v>
      </c>
      <c r="K21" s="37">
        <v>-3575372</v>
      </c>
      <c r="L21" s="37">
        <v>-3866882</v>
      </c>
      <c r="M21" s="37">
        <v>-3802219</v>
      </c>
      <c r="N21" s="37">
        <v>-3850379</v>
      </c>
      <c r="O21" s="37">
        <v>-3777097</v>
      </c>
      <c r="P21" s="37">
        <v>-3496748</v>
      </c>
      <c r="Q21" s="37">
        <v>-3367864</v>
      </c>
      <c r="R21" s="37">
        <v>-2855511</v>
      </c>
      <c r="S21" s="37">
        <v>-2580558</v>
      </c>
      <c r="T21" s="37">
        <v>-2790152</v>
      </c>
      <c r="U21" s="37">
        <v>-3759319</v>
      </c>
      <c r="V21" s="37">
        <v>-3835482</v>
      </c>
      <c r="W21" s="37">
        <v>-3700350</v>
      </c>
      <c r="X21" s="37">
        <v>-2891242</v>
      </c>
      <c r="Y21" s="37">
        <v>-2513982</v>
      </c>
      <c r="Z21" s="37">
        <v>-4841906</v>
      </c>
      <c r="AA21" s="37">
        <v>-3811703</v>
      </c>
      <c r="AB21" s="37">
        <v>-4163599</v>
      </c>
      <c r="AC21" s="37">
        <v>-4005506</v>
      </c>
      <c r="AD21" s="37">
        <v>-1836545</v>
      </c>
      <c r="AE21" s="1541"/>
      <c r="AF21" s="37">
        <v>-9328838</v>
      </c>
      <c r="AG21" s="37">
        <v>-9212847</v>
      </c>
      <c r="AH21" s="37">
        <v>-8910766</v>
      </c>
      <c r="AI21" s="37">
        <v>-11879040</v>
      </c>
      <c r="AJ21" s="37">
        <v>-11725171</v>
      </c>
      <c r="AK21" s="37">
        <v>-11826228</v>
      </c>
      <c r="AL21" s="37">
        <v>-11993582</v>
      </c>
      <c r="AM21" s="37">
        <v>-11964073</v>
      </c>
      <c r="AN21" s="37">
        <v>-11875810</v>
      </c>
      <c r="AO21" s="37">
        <v>-11117869</v>
      </c>
      <c r="AP21" s="37">
        <v>-10765137</v>
      </c>
      <c r="AQ21" s="37">
        <v>-10508982</v>
      </c>
      <c r="AR21" s="37">
        <v>-10163640</v>
      </c>
      <c r="AS21" s="37">
        <f>-10437840</f>
        <v>-10437840</v>
      </c>
      <c r="AT21" s="37">
        <v>-12578190</v>
      </c>
      <c r="AU21" s="37">
        <v>-13398343</v>
      </c>
      <c r="AV21" s="37">
        <v>-13665797</v>
      </c>
      <c r="AW21" s="37">
        <v>-13033295</v>
      </c>
      <c r="AX21" s="37">
        <v>-12729852</v>
      </c>
      <c r="AY21" s="4">
        <v>-15389753</v>
      </c>
      <c r="AZ21" s="37">
        <v>-14634292</v>
      </c>
      <c r="BA21" s="37">
        <v>-15626741</v>
      </c>
      <c r="BB21" s="37">
        <v>-16060192</v>
      </c>
      <c r="BC21" s="37">
        <v>-14708982</v>
      </c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2:65" s="43" customFormat="1">
      <c r="B22" s="41" t="s">
        <v>99</v>
      </c>
      <c r="C22" s="42">
        <f>C19+C21+C20</f>
        <v>9649649</v>
      </c>
      <c r="D22" s="42">
        <f t="shared" ref="D22:N22" si="15">D19+D21+D20</f>
        <v>16412240</v>
      </c>
      <c r="E22" s="42">
        <f t="shared" si="15"/>
        <v>9053810</v>
      </c>
      <c r="F22" s="42">
        <f t="shared" si="15"/>
        <v>10308071</v>
      </c>
      <c r="G22" s="42">
        <f t="shared" si="15"/>
        <v>9678910.6025552452</v>
      </c>
      <c r="H22" s="42">
        <f t="shared" si="15"/>
        <v>12680492.339276165</v>
      </c>
      <c r="I22" s="42">
        <f t="shared" si="15"/>
        <v>9664097.6130913198</v>
      </c>
      <c r="J22" s="42">
        <f t="shared" si="15"/>
        <v>10675268.668147802</v>
      </c>
      <c r="K22" s="42">
        <f t="shared" si="15"/>
        <v>4155316.8109245002</v>
      </c>
      <c r="L22" s="42">
        <f t="shared" si="15"/>
        <v>8816425.3235441148</v>
      </c>
      <c r="M22" s="42">
        <f t="shared" si="15"/>
        <v>5087806.1748012304</v>
      </c>
      <c r="N22" s="42">
        <f t="shared" si="15"/>
        <v>3950173.3685025573</v>
      </c>
      <c r="O22" s="42">
        <f t="shared" ref="O22:T22" si="16">O19+O21+O20</f>
        <v>5854030.2418223619</v>
      </c>
      <c r="P22" s="42">
        <f t="shared" si="16"/>
        <v>16184887.045137584</v>
      </c>
      <c r="Q22" s="42">
        <f t="shared" si="16"/>
        <v>12567458.207162738</v>
      </c>
      <c r="R22" s="42">
        <f t="shared" si="16"/>
        <v>14079656.257955432</v>
      </c>
      <c r="S22" s="42">
        <f t="shared" si="16"/>
        <v>14185615.767948821</v>
      </c>
      <c r="T22" s="42">
        <f t="shared" si="16"/>
        <v>15582555</v>
      </c>
      <c r="U22" s="42">
        <f>U19+U21+U20-1</f>
        <v>17589479.928107977</v>
      </c>
      <c r="V22" s="42">
        <f>V19+V21+V20+1</f>
        <v>19738353.789765004</v>
      </c>
      <c r="W22" s="42">
        <f t="shared" ref="W22:AD22" si="17">W19+W21+W20</f>
        <v>13902103.187757373</v>
      </c>
      <c r="X22" s="42">
        <f t="shared" si="17"/>
        <v>26971632.498960234</v>
      </c>
      <c r="Y22" s="42">
        <f t="shared" si="17"/>
        <v>20810677.794796847</v>
      </c>
      <c r="Z22" s="42">
        <f t="shared" si="17"/>
        <v>-11123224.845331043</v>
      </c>
      <c r="AA22" s="42">
        <f t="shared" si="17"/>
        <v>19647336.925355002</v>
      </c>
      <c r="AB22" s="42">
        <f t="shared" si="17"/>
        <v>27450764.119944993</v>
      </c>
      <c r="AC22" s="42">
        <f t="shared" si="17"/>
        <v>27841883</v>
      </c>
      <c r="AD22" s="42">
        <f t="shared" si="17"/>
        <v>17114973.655611038</v>
      </c>
      <c r="AE22" s="1541"/>
      <c r="AF22" s="42">
        <f t="shared" ref="AF22:AM22" si="18">AF19+AF21+AF20</f>
        <v>6727701.6025552452</v>
      </c>
      <c r="AG22" s="42">
        <f t="shared" si="18"/>
        <v>11451969.339276165</v>
      </c>
      <c r="AH22" s="42">
        <f t="shared" si="18"/>
        <v>7820335.6130913198</v>
      </c>
      <c r="AI22" s="42">
        <f t="shared" si="18"/>
        <v>4954170.7536206152</v>
      </c>
      <c r="AJ22" s="42">
        <f t="shared" si="18"/>
        <v>1347055.8109245002</v>
      </c>
      <c r="AK22" s="42">
        <f t="shared" si="18"/>
        <v>4360038.3235441148</v>
      </c>
      <c r="AL22" s="42">
        <f t="shared" si="18"/>
        <v>2310078.1748011932</v>
      </c>
      <c r="AM22" s="42">
        <f t="shared" si="18"/>
        <v>4562299.3685025834</v>
      </c>
      <c r="AN22" s="42">
        <f t="shared" ref="AN22:AZ22" si="19">AN19+AN21+AN20</f>
        <v>3514086.2418223619</v>
      </c>
      <c r="AO22" s="42">
        <f t="shared" si="19"/>
        <v>15344392.045137584</v>
      </c>
      <c r="AP22" s="42">
        <f t="shared" si="19"/>
        <v>11296630.207162738</v>
      </c>
      <c r="AQ22" s="42">
        <f t="shared" si="19"/>
        <v>12547408.257955432</v>
      </c>
      <c r="AR22" s="42">
        <f t="shared" si="19"/>
        <v>12784656.295812488</v>
      </c>
      <c r="AS22" s="42">
        <f t="shared" si="19"/>
        <v>16174756</v>
      </c>
      <c r="AT22" s="42">
        <f t="shared" si="19"/>
        <v>16242216.759766402</v>
      </c>
      <c r="AU22" s="42">
        <f t="shared" si="19"/>
        <v>17413455.344526887</v>
      </c>
      <c r="AV22" s="42">
        <f t="shared" si="19"/>
        <v>11419013.187757373</v>
      </c>
      <c r="AW22" s="42">
        <f t="shared" si="19"/>
        <v>26089146.345514894</v>
      </c>
      <c r="AX22" s="42">
        <f t="shared" si="19"/>
        <v>18713254.637797177</v>
      </c>
      <c r="AY22" s="42">
        <f t="shared" si="19"/>
        <v>-13356863.988244057</v>
      </c>
      <c r="AZ22" s="42">
        <f t="shared" si="19"/>
        <v>17657521.000688002</v>
      </c>
      <c r="BA22" s="42">
        <f t="shared" ref="BA22:BC22" si="20">BA19+BA21+BA20</f>
        <v>25314398.282887995</v>
      </c>
      <c r="BB22" s="42">
        <f t="shared" si="20"/>
        <v>25443741</v>
      </c>
      <c r="BC22" s="42">
        <f t="shared" si="20"/>
        <v>14320137.5</v>
      </c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2:65">
      <c r="B23" s="36" t="s">
        <v>50</v>
      </c>
      <c r="C23" s="37">
        <v>-2105919</v>
      </c>
      <c r="D23" s="37">
        <v>-3207522</v>
      </c>
      <c r="E23" s="37">
        <v>-2123967</v>
      </c>
      <c r="F23" s="37">
        <v>-2447390</v>
      </c>
      <c r="G23" s="37">
        <v>-2041510.7205110474</v>
      </c>
      <c r="H23" s="37">
        <v>-2634872.6678552334</v>
      </c>
      <c r="I23" s="37">
        <v>-2066814.722618266</v>
      </c>
      <c r="J23" s="37">
        <v>-2389627.733629562</v>
      </c>
      <c r="K23" s="37">
        <v>-943533.76218490128</v>
      </c>
      <c r="L23" s="37">
        <v>-2444268.0647088229</v>
      </c>
      <c r="M23" s="37">
        <v>-1578474.3551827683</v>
      </c>
      <c r="N23" s="37">
        <v>64976.182076491416</v>
      </c>
      <c r="O23" s="37">
        <v>-1652709</v>
      </c>
      <c r="P23" s="37">
        <v>-3342148</v>
      </c>
      <c r="Q23" s="37">
        <v>-2947530</v>
      </c>
      <c r="R23" s="37">
        <v>-2962171</v>
      </c>
      <c r="S23" s="37">
        <v>-3310683</v>
      </c>
      <c r="T23" s="37">
        <v>-3509312</v>
      </c>
      <c r="U23" s="37">
        <v>-3983856</v>
      </c>
      <c r="V23" s="37">
        <v>-4585734</v>
      </c>
      <c r="W23" s="37">
        <f>-2996784</f>
        <v>-2996784</v>
      </c>
      <c r="X23" s="37">
        <v>-5841683</v>
      </c>
      <c r="Y23" s="37">
        <v>-4511945</v>
      </c>
      <c r="Z23" s="37">
        <v>-3124478</v>
      </c>
      <c r="AA23" s="37">
        <v>-4239109</v>
      </c>
      <c r="AB23" s="37">
        <v>-5542190</v>
      </c>
      <c r="AC23" s="37">
        <v>-10277927</v>
      </c>
      <c r="AD23" s="37">
        <v>-5858866.5</v>
      </c>
      <c r="AE23" s="1541"/>
      <c r="AF23" s="37">
        <v>-1451268.7205110474</v>
      </c>
      <c r="AG23" s="37">
        <v>-2389167.6678552334</v>
      </c>
      <c r="AH23" s="37">
        <v>-1698062.722618266</v>
      </c>
      <c r="AI23" s="37">
        <v>-1245407.4506804235</v>
      </c>
      <c r="AJ23" s="37">
        <v>-432006.76218490128</v>
      </c>
      <c r="AK23" s="37">
        <v>-1502865.0647088226</v>
      </c>
      <c r="AL23" s="37">
        <v>-1022929.3551827683</v>
      </c>
      <c r="AM23" s="37">
        <v>-57448.817923507653</v>
      </c>
      <c r="AN23" s="37">
        <v>-1184720</v>
      </c>
      <c r="AO23" s="37">
        <v>-3174050</v>
      </c>
      <c r="AP23" s="37">
        <v>-2693364</v>
      </c>
      <c r="AQ23" s="37">
        <v>-2657089</v>
      </c>
      <c r="AR23" s="37">
        <v>-3031201</v>
      </c>
      <c r="AS23" s="37">
        <v>-3628509</v>
      </c>
      <c r="AT23" s="37">
        <v>-3705371</v>
      </c>
      <c r="AU23" s="37">
        <v>-4131849</v>
      </c>
      <c r="AV23" s="37">
        <v>-2498094</v>
      </c>
      <c r="AW23" s="37">
        <v>-5667488</v>
      </c>
      <c r="AX23" s="37">
        <v>-4087234</v>
      </c>
      <c r="AY23" s="4">
        <v>-2679217</v>
      </c>
      <c r="AZ23" s="37">
        <v>-3841080</v>
      </c>
      <c r="BA23" s="37">
        <v>-5114918</v>
      </c>
      <c r="BB23" s="37">
        <v>-9799737</v>
      </c>
      <c r="BC23" s="37">
        <v>-5302462</v>
      </c>
    </row>
    <row r="24" spans="2:65" s="43" customFormat="1">
      <c r="B24" s="41" t="s">
        <v>186</v>
      </c>
      <c r="C24" s="42">
        <f t="shared" ref="C24:N24" si="21">C22+C23</f>
        <v>7543730</v>
      </c>
      <c r="D24" s="42">
        <f t="shared" si="21"/>
        <v>13204718</v>
      </c>
      <c r="E24" s="42">
        <f t="shared" si="21"/>
        <v>6929843</v>
      </c>
      <c r="F24" s="42">
        <f t="shared" si="21"/>
        <v>7860681</v>
      </c>
      <c r="G24" s="42">
        <f t="shared" si="21"/>
        <v>7637399.882044198</v>
      </c>
      <c r="H24" s="42">
        <f t="shared" si="21"/>
        <v>10045619.671420932</v>
      </c>
      <c r="I24" s="42">
        <f t="shared" si="21"/>
        <v>7597282.8904730538</v>
      </c>
      <c r="J24" s="42">
        <f t="shared" si="21"/>
        <v>8285640.9345182404</v>
      </c>
      <c r="K24" s="42">
        <f t="shared" si="21"/>
        <v>3211783.0487395991</v>
      </c>
      <c r="L24" s="42">
        <f t="shared" si="21"/>
        <v>6372157.2588352915</v>
      </c>
      <c r="M24" s="42">
        <f t="shared" si="21"/>
        <v>3509331.8196184621</v>
      </c>
      <c r="N24" s="42">
        <f t="shared" si="21"/>
        <v>4015149.5505790487</v>
      </c>
      <c r="O24" s="42">
        <f t="shared" ref="O24:AA24" si="22">O22+O23</f>
        <v>4201321.2418223619</v>
      </c>
      <c r="P24" s="42">
        <f t="shared" si="22"/>
        <v>12842739.045137584</v>
      </c>
      <c r="Q24" s="42">
        <f t="shared" si="22"/>
        <v>9619928.2071627378</v>
      </c>
      <c r="R24" s="42">
        <f t="shared" si="22"/>
        <v>11117485.257955432</v>
      </c>
      <c r="S24" s="42">
        <f t="shared" si="22"/>
        <v>10874932.767948821</v>
      </c>
      <c r="T24" s="42">
        <f t="shared" si="22"/>
        <v>12073243</v>
      </c>
      <c r="U24" s="42">
        <f t="shared" si="22"/>
        <v>13605623.928107977</v>
      </c>
      <c r="V24" s="42">
        <f t="shared" si="22"/>
        <v>15152619.789765004</v>
      </c>
      <c r="W24" s="42">
        <f t="shared" si="22"/>
        <v>10905319.187757373</v>
      </c>
      <c r="X24" s="42">
        <f t="shared" si="22"/>
        <v>21129949.498960234</v>
      </c>
      <c r="Y24" s="42">
        <f t="shared" si="22"/>
        <v>16298732.794796847</v>
      </c>
      <c r="Z24" s="42">
        <f t="shared" si="22"/>
        <v>-14247702.845331043</v>
      </c>
      <c r="AA24" s="42">
        <f t="shared" si="22"/>
        <v>15408227.925355002</v>
      </c>
      <c r="AB24" s="42">
        <f t="shared" ref="AB24:AC24" si="23">AB22+AB23</f>
        <v>21908574.119944993</v>
      </c>
      <c r="AC24" s="42">
        <f t="shared" si="23"/>
        <v>17563956</v>
      </c>
      <c r="AD24" s="42">
        <f t="shared" ref="AD24" si="24">AD22+AD23</f>
        <v>11256107.155611038</v>
      </c>
      <c r="AE24" s="1541"/>
      <c r="AF24" s="42">
        <f>AF22+AF23</f>
        <v>5276432.882044198</v>
      </c>
      <c r="AG24" s="42">
        <f t="shared" ref="AG24:AM24" si="25">AG22+AG23</f>
        <v>9062801.6714209318</v>
      </c>
      <c r="AH24" s="42">
        <f t="shared" si="25"/>
        <v>6122272.8904730538</v>
      </c>
      <c r="AI24" s="42">
        <f t="shared" si="25"/>
        <v>3708763.3029401917</v>
      </c>
      <c r="AJ24" s="42">
        <f t="shared" si="25"/>
        <v>915049.04873959895</v>
      </c>
      <c r="AK24" s="42">
        <f t="shared" si="25"/>
        <v>2857173.2588352924</v>
      </c>
      <c r="AL24" s="42">
        <f t="shared" si="25"/>
        <v>1287148.8196184249</v>
      </c>
      <c r="AM24" s="42">
        <f t="shared" si="25"/>
        <v>4504850.5505790757</v>
      </c>
      <c r="AN24" s="42">
        <f t="shared" ref="AN24:AZ24" si="26">AN22+AN23</f>
        <v>2329366.2418223619</v>
      </c>
      <c r="AO24" s="42">
        <f t="shared" si="26"/>
        <v>12170342.045137584</v>
      </c>
      <c r="AP24" s="42">
        <f t="shared" si="26"/>
        <v>8603266.2071627378</v>
      </c>
      <c r="AQ24" s="42">
        <f t="shared" si="26"/>
        <v>9890319.2579554319</v>
      </c>
      <c r="AR24" s="42">
        <f t="shared" si="26"/>
        <v>9753455.2958124876</v>
      </c>
      <c r="AS24" s="42">
        <f t="shared" si="26"/>
        <v>12546247</v>
      </c>
      <c r="AT24" s="42">
        <f t="shared" si="26"/>
        <v>12536845.759766402</v>
      </c>
      <c r="AU24" s="42">
        <f t="shared" si="26"/>
        <v>13281606.344526887</v>
      </c>
      <c r="AV24" s="42">
        <f t="shared" si="26"/>
        <v>8920919.1877573729</v>
      </c>
      <c r="AW24" s="42">
        <f t="shared" si="26"/>
        <v>20421658.345514894</v>
      </c>
      <c r="AX24" s="42">
        <f t="shared" si="26"/>
        <v>14626020.637797177</v>
      </c>
      <c r="AY24" s="42">
        <f t="shared" si="26"/>
        <v>-16036080.988244057</v>
      </c>
      <c r="AZ24" s="42">
        <f t="shared" si="26"/>
        <v>13816441.000688002</v>
      </c>
      <c r="BA24" s="42">
        <f t="shared" ref="BA24:BC24" si="27">BA22+BA23</f>
        <v>20199480.282887995</v>
      </c>
      <c r="BB24" s="42">
        <f t="shared" si="27"/>
        <v>15644004</v>
      </c>
      <c r="BC24" s="42">
        <f t="shared" si="27"/>
        <v>9017675.5</v>
      </c>
      <c r="BD24" s="4"/>
      <c r="BE24" s="4"/>
      <c r="BF24" s="4"/>
      <c r="BG24" s="4"/>
      <c r="BH24" s="4"/>
      <c r="BI24" s="4"/>
      <c r="BJ24" s="4"/>
      <c r="BK24" s="4"/>
      <c r="BL24" s="4"/>
      <c r="BM24" s="4"/>
    </row>
    <row r="25" spans="2:65">
      <c r="B25" s="44" t="s">
        <v>187</v>
      </c>
      <c r="C25" s="45">
        <f t="shared" ref="C25:AC25" si="28">C24/C7</f>
        <v>2.8255461088603297E-2</v>
      </c>
      <c r="D25" s="45">
        <f t="shared" si="28"/>
        <v>4.5843068987838478E-2</v>
      </c>
      <c r="E25" s="45">
        <f t="shared" si="28"/>
        <v>2.4233558664258088E-2</v>
      </c>
      <c r="F25" s="45">
        <f t="shared" si="28"/>
        <v>2.6000422566185361E-2</v>
      </c>
      <c r="G25" s="45">
        <f t="shared" si="28"/>
        <v>2.6467159857576771E-2</v>
      </c>
      <c r="H25" s="45">
        <f t="shared" si="28"/>
        <v>3.2753769227170666E-2</v>
      </c>
      <c r="I25" s="45">
        <f t="shared" si="28"/>
        <v>2.4498526358946063E-2</v>
      </c>
      <c r="J25" s="45">
        <f t="shared" si="28"/>
        <v>2.4983759655026087E-2</v>
      </c>
      <c r="K25" s="45">
        <f t="shared" si="28"/>
        <v>1.0124085634303094E-2</v>
      </c>
      <c r="L25" s="45">
        <f t="shared" si="28"/>
        <v>1.8704513398169306E-2</v>
      </c>
      <c r="M25" s="45">
        <f t="shared" si="28"/>
        <v>1.0243746859371853E-2</v>
      </c>
      <c r="N25" s="45">
        <f t="shared" si="28"/>
        <v>1.0904630543504459E-2</v>
      </c>
      <c r="O25" s="45">
        <f t="shared" si="28"/>
        <v>1.1172590839529649E-2</v>
      </c>
      <c r="P25" s="45">
        <f t="shared" si="28"/>
        <v>3.3157697095354405E-2</v>
      </c>
      <c r="Q25" s="45">
        <f t="shared" si="28"/>
        <v>2.5104921025218861E-2</v>
      </c>
      <c r="R25" s="45">
        <f t="shared" si="28"/>
        <v>2.7300450632783496E-2</v>
      </c>
      <c r="S25" s="45">
        <f t="shared" si="28"/>
        <v>2.7331573838357274E-2</v>
      </c>
      <c r="T25" s="45">
        <f t="shared" si="28"/>
        <v>2.845171870208384E-2</v>
      </c>
      <c r="U25" s="45">
        <f t="shared" si="28"/>
        <v>2.7806526873184207E-2</v>
      </c>
      <c r="V25" s="45">
        <f t="shared" si="28"/>
        <v>2.7825822030042847E-2</v>
      </c>
      <c r="W25" s="45">
        <f t="shared" si="28"/>
        <v>1.9910838613474698E-2</v>
      </c>
      <c r="X25" s="45">
        <f t="shared" si="28"/>
        <v>3.5901211661699226E-2</v>
      </c>
      <c r="Y25" s="45">
        <f t="shared" si="28"/>
        <v>2.7419445646914908E-2</v>
      </c>
      <c r="Z25" s="45">
        <f t="shared" si="28"/>
        <v>-2.293177890098181E-2</v>
      </c>
      <c r="AA25" s="45">
        <f t="shared" si="28"/>
        <v>2.5818202172123529E-2</v>
      </c>
      <c r="AB25" s="45">
        <f t="shared" si="28"/>
        <v>3.462936257058781E-2</v>
      </c>
      <c r="AC25" s="45">
        <f t="shared" si="28"/>
        <v>2.7946480084440967E-2</v>
      </c>
      <c r="AD25" s="45">
        <f t="shared" ref="AD25" si="29">AD24/AD7</f>
        <v>1.6390463241834699E-2</v>
      </c>
      <c r="AE25" s="1541"/>
      <c r="AF25" s="45">
        <f t="shared" ref="AF25:BC25" si="30">AF24/AF7</f>
        <v>1.8285305827074164E-2</v>
      </c>
      <c r="AG25" s="45">
        <f t="shared" si="30"/>
        <v>2.9549288566222444E-2</v>
      </c>
      <c r="AH25" s="45">
        <f t="shared" si="30"/>
        <v>1.9742145441496904E-2</v>
      </c>
      <c r="AI25" s="45">
        <f t="shared" si="30"/>
        <v>1.1183063740314513E-2</v>
      </c>
      <c r="AJ25" s="45">
        <f t="shared" si="30"/>
        <v>2.8843900065612382E-3</v>
      </c>
      <c r="AK25" s="45">
        <f t="shared" si="30"/>
        <v>8.3868042375564288E-3</v>
      </c>
      <c r="AL25" s="45">
        <f t="shared" si="30"/>
        <v>3.7571900738482857E-3</v>
      </c>
      <c r="AM25" s="45">
        <f t="shared" si="30"/>
        <v>1.2234595570838213E-2</v>
      </c>
      <c r="AN25" s="45">
        <f t="shared" si="30"/>
        <v>6.1944932170922302E-3</v>
      </c>
      <c r="AO25" s="45">
        <f t="shared" si="30"/>
        <v>3.1421686110823327E-2</v>
      </c>
      <c r="AP25" s="45">
        <f t="shared" si="30"/>
        <v>2.2451759934023069E-2</v>
      </c>
      <c r="AQ25" s="45">
        <f t="shared" si="30"/>
        <v>2.4286982746486371E-2</v>
      </c>
      <c r="AR25" s="45">
        <f t="shared" si="30"/>
        <v>2.4513005177248446E-2</v>
      </c>
      <c r="AS25" s="45">
        <f t="shared" si="30"/>
        <v>2.9566396638589818E-2</v>
      </c>
      <c r="AT25" s="45">
        <f t="shared" si="30"/>
        <v>2.5622208907004708E-2</v>
      </c>
      <c r="AU25" s="45">
        <f t="shared" si="30"/>
        <v>2.4389948374836417E-2</v>
      </c>
      <c r="AV25" s="45">
        <f t="shared" si="30"/>
        <v>1.6287738045365197E-2</v>
      </c>
      <c r="AW25" s="45">
        <f t="shared" si="30"/>
        <v>3.4697777142406995E-2</v>
      </c>
      <c r="AX25" s="45">
        <f t="shared" si="30"/>
        <v>2.460543300867913E-2</v>
      </c>
      <c r="AY25" s="45">
        <f t="shared" si="30"/>
        <v>-2.5810186221083158E-2</v>
      </c>
      <c r="AZ25" s="45">
        <f t="shared" si="30"/>
        <v>2.3150985874760215E-2</v>
      </c>
      <c r="BA25" s="45">
        <f t="shared" si="30"/>
        <v>3.192791656015468E-2</v>
      </c>
      <c r="BB25" s="45">
        <f t="shared" si="30"/>
        <v>2.4891593114154627E-2</v>
      </c>
      <c r="BC25" s="45">
        <f t="shared" si="30"/>
        <v>1.3130994301460331E-2</v>
      </c>
    </row>
    <row r="26" spans="2:65">
      <c r="B26" s="47"/>
      <c r="C26" s="35"/>
      <c r="D26" s="35"/>
      <c r="E26" s="35"/>
      <c r="F26" s="35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1541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Z26" s="37"/>
      <c r="BA26" s="37"/>
      <c r="BB26" s="37"/>
      <c r="BC26" s="37"/>
    </row>
    <row r="27" spans="2:65" s="43" customFormat="1">
      <c r="B27" s="41" t="s">
        <v>34</v>
      </c>
      <c r="C27" s="42">
        <v>20570216</v>
      </c>
      <c r="D27" s="42">
        <v>28165287</v>
      </c>
      <c r="E27" s="42">
        <v>20658304</v>
      </c>
      <c r="F27" s="42">
        <v>22250153</v>
      </c>
      <c r="G27" s="42">
        <v>20765383.602555238</v>
      </c>
      <c r="H27" s="42">
        <v>23998704.339276168</v>
      </c>
      <c r="I27" s="42">
        <v>21716275.613091331</v>
      </c>
      <c r="J27" s="42">
        <v>23077099.66814781</v>
      </c>
      <c r="K27" s="42">
        <v>18729508.810924508</v>
      </c>
      <c r="L27" s="42">
        <v>24313468.323544115</v>
      </c>
      <c r="M27" s="42">
        <v>20100850.775913842</v>
      </c>
      <c r="N27" s="42">
        <v>19968126.368502557</v>
      </c>
      <c r="O27" s="42">
        <v>22744107.241822362</v>
      </c>
      <c r="P27" s="42">
        <v>30476157.045137584</v>
      </c>
      <c r="Q27" s="42">
        <v>27598388.207162738</v>
      </c>
      <c r="R27" s="42">
        <v>28591783.257955432</v>
      </c>
      <c r="S27" s="42">
        <v>27678269.399999999</v>
      </c>
      <c r="T27" s="42">
        <v>30250207.704</v>
      </c>
      <c r="U27" s="42">
        <v>35083996.600000001</v>
      </c>
      <c r="V27" s="42">
        <v>40145613.413683899</v>
      </c>
      <c r="W27" s="42">
        <v>37662304.939999998</v>
      </c>
      <c r="X27" s="42">
        <v>42442331.596733399</v>
      </c>
      <c r="Y27" s="42">
        <v>42751971.271024004</v>
      </c>
      <c r="Z27" s="42">
        <v>37652002.439195</v>
      </c>
      <c r="AA27" s="42">
        <v>35234681</v>
      </c>
      <c r="AB27" s="42">
        <v>46569087.710000001</v>
      </c>
      <c r="AC27" s="42">
        <v>42380207</v>
      </c>
      <c r="AD27" s="42">
        <v>42072407.855375402</v>
      </c>
      <c r="AE27" s="1541"/>
      <c r="AF27" s="42">
        <v>33954840.602555238</v>
      </c>
      <c r="AG27" s="42">
        <v>38343150.339276165</v>
      </c>
      <c r="AH27" s="42">
        <v>35256721.613091327</v>
      </c>
      <c r="AI27" s="42">
        <v>37407602.925401531</v>
      </c>
      <c r="AJ27" s="42">
        <v>33578892.810924508</v>
      </c>
      <c r="AK27" s="42">
        <v>40516243.323544115</v>
      </c>
      <c r="AL27" s="42">
        <v>36171817.656830572</v>
      </c>
      <c r="AM27" s="42">
        <v>37043174.368502587</v>
      </c>
      <c r="AN27" s="42">
        <v>39711938.241822362</v>
      </c>
      <c r="AO27" s="42">
        <f>'P&amp;L'!W44-'P&amp;L quarterly'!AN27</f>
        <v>48132737.600242198</v>
      </c>
      <c r="AP27" s="42">
        <v>44387519.207162738</v>
      </c>
      <c r="AQ27" s="42">
        <v>45956830.257955402</v>
      </c>
      <c r="AR27" s="42">
        <v>45126628.29581219</v>
      </c>
      <c r="AS27" s="42">
        <v>49236367.700000003</v>
      </c>
      <c r="AT27" s="42">
        <v>57042544.584024295</v>
      </c>
      <c r="AU27" s="42">
        <v>62833815.986406498</v>
      </c>
      <c r="AV27" s="42">
        <v>61196770.362921096</v>
      </c>
      <c r="AW27" s="42">
        <v>67242334.767267093</v>
      </c>
      <c r="AX27" s="42">
        <v>66940233.656796597</v>
      </c>
      <c r="AY27" s="42">
        <v>61974462.014484197</v>
      </c>
      <c r="AZ27" s="42">
        <v>60166937</v>
      </c>
      <c r="BA27" s="42">
        <v>72257228</v>
      </c>
      <c r="BB27" s="42">
        <v>68460434</v>
      </c>
      <c r="BC27" s="42">
        <v>68729833.904793903</v>
      </c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2:65">
      <c r="B28" s="44" t="s">
        <v>38</v>
      </c>
      <c r="C28" s="45">
        <f t="shared" ref="C28:AD28" si="31">C27/C7</f>
        <v>7.7046890301238902E-2</v>
      </c>
      <c r="D28" s="45">
        <f t="shared" si="31"/>
        <v>9.7781959069725699E-2</v>
      </c>
      <c r="E28" s="45">
        <f t="shared" si="31"/>
        <v>7.224178410507677E-2</v>
      </c>
      <c r="F28" s="45">
        <f t="shared" si="31"/>
        <v>7.3595834783560979E-2</v>
      </c>
      <c r="G28" s="45">
        <f t="shared" si="31"/>
        <v>7.1961758687647606E-2</v>
      </c>
      <c r="H28" s="45">
        <f t="shared" si="31"/>
        <v>7.8247838300707445E-2</v>
      </c>
      <c r="I28" s="45">
        <f t="shared" si="31"/>
        <v>7.0027239763916296E-2</v>
      </c>
      <c r="J28" s="45">
        <f t="shared" si="31"/>
        <v>6.9584563970440771E-2</v>
      </c>
      <c r="K28" s="45">
        <f t="shared" si="31"/>
        <v>5.9038592648605684E-2</v>
      </c>
      <c r="L28" s="45">
        <f t="shared" si="31"/>
        <v>7.1368545304360459E-2</v>
      </c>
      <c r="M28" s="45">
        <f t="shared" si="31"/>
        <v>5.8674425101487328E-2</v>
      </c>
      <c r="N28" s="45">
        <f t="shared" si="31"/>
        <v>5.423086685852771E-2</v>
      </c>
      <c r="O28" s="45">
        <f t="shared" si="31"/>
        <v>6.0483497832467967E-2</v>
      </c>
      <c r="P28" s="45">
        <f t="shared" si="31"/>
        <v>7.8684086033478817E-2</v>
      </c>
      <c r="Q28" s="45">
        <f t="shared" si="31"/>
        <v>7.2022923814365966E-2</v>
      </c>
      <c r="R28" s="45">
        <f t="shared" si="31"/>
        <v>7.021089295157823E-2</v>
      </c>
      <c r="S28" s="45">
        <f t="shared" si="31"/>
        <v>6.9562789946951586E-2</v>
      </c>
      <c r="T28" s="45">
        <f t="shared" si="31"/>
        <v>7.128742461936842E-2</v>
      </c>
      <c r="U28" s="45">
        <f t="shared" si="31"/>
        <v>7.1703003069280569E-2</v>
      </c>
      <c r="V28" s="45">
        <f t="shared" si="31"/>
        <v>7.372221501199519E-2</v>
      </c>
      <c r="W28" s="45">
        <f t="shared" si="31"/>
        <v>6.8763514626298775E-2</v>
      </c>
      <c r="X28" s="45">
        <f t="shared" si="31"/>
        <v>7.2112388633268173E-2</v>
      </c>
      <c r="Y28" s="45">
        <f t="shared" si="31"/>
        <v>7.1921870695280721E-2</v>
      </c>
      <c r="Z28" s="45">
        <f t="shared" si="31"/>
        <v>6.0601165288746296E-2</v>
      </c>
      <c r="AA28" s="45">
        <f t="shared" si="31"/>
        <v>5.9039632716707785E-2</v>
      </c>
      <c r="AB28" s="45">
        <f t="shared" si="31"/>
        <v>7.3608524866206296E-2</v>
      </c>
      <c r="AC28" s="45">
        <f t="shared" si="31"/>
        <v>6.7432280683234785E-2</v>
      </c>
      <c r="AD28" s="45">
        <f t="shared" si="31"/>
        <v>6.126329866229617E-2</v>
      </c>
      <c r="AE28" s="1541"/>
      <c r="AF28" s="45">
        <f t="shared" ref="AF28:BB28" si="32">AF27/AF7</f>
        <v>0.11766939116010099</v>
      </c>
      <c r="AG28" s="45">
        <f t="shared" si="32"/>
        <v>0.12501794202186037</v>
      </c>
      <c r="AH28" s="45">
        <f t="shared" si="32"/>
        <v>0.11369034643312587</v>
      </c>
      <c r="AI28" s="45">
        <f t="shared" si="32"/>
        <v>0.11279544519745996</v>
      </c>
      <c r="AJ28" s="45">
        <f t="shared" si="32"/>
        <v>0.10584637292244665</v>
      </c>
      <c r="AK28" s="45">
        <f t="shared" si="32"/>
        <v>0.11892936493962747</v>
      </c>
      <c r="AL28" s="45">
        <f t="shared" si="32"/>
        <v>0.10558561075601407</v>
      </c>
      <c r="AM28" s="45">
        <f t="shared" si="32"/>
        <v>0.10060450440479357</v>
      </c>
      <c r="AN28" s="45">
        <f t="shared" si="32"/>
        <v>0.105606120523195</v>
      </c>
      <c r="AO28" s="45">
        <f t="shared" si="32"/>
        <v>0.12427027662165731</v>
      </c>
      <c r="AP28" s="45">
        <f t="shared" si="32"/>
        <v>0.11583716013301373</v>
      </c>
      <c r="AQ28" s="45">
        <f t="shared" si="32"/>
        <v>0.11285305503766938</v>
      </c>
      <c r="AR28" s="45">
        <f t="shared" si="32"/>
        <v>0.11341511695059879</v>
      </c>
      <c r="AS28" s="45">
        <f t="shared" si="32"/>
        <v>0.11603007468780524</v>
      </c>
      <c r="AT28" s="45">
        <f t="shared" si="32"/>
        <v>0.11658083874729216</v>
      </c>
      <c r="AU28" s="45">
        <f t="shared" si="32"/>
        <v>0.11538615799541048</v>
      </c>
      <c r="AV28" s="45">
        <f t="shared" si="32"/>
        <v>0.11173254055047679</v>
      </c>
      <c r="AW28" s="45">
        <f t="shared" si="32"/>
        <v>0.11424926941852298</v>
      </c>
      <c r="AX28" s="45">
        <f t="shared" si="32"/>
        <v>0.11261391431180869</v>
      </c>
      <c r="AY28" s="45">
        <f t="shared" si="32"/>
        <v>9.9748336686371022E-2</v>
      </c>
      <c r="AZ28" s="45">
        <f t="shared" si="32"/>
        <v>0.10081640478508365</v>
      </c>
      <c r="BA28" s="45">
        <f t="shared" si="32"/>
        <v>0.11421198536511201</v>
      </c>
      <c r="BB28" s="45">
        <f t="shared" si="32"/>
        <v>0.10892922729669702</v>
      </c>
      <c r="BC28" s="45">
        <f t="shared" ref="BC28" si="33">BC27/BC7</f>
        <v>0.10008023213345432</v>
      </c>
    </row>
    <row r="29" spans="2:6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1541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</row>
    <row r="30" spans="2:65" s="43" customFormat="1" collapsed="1">
      <c r="B30" s="41" t="s">
        <v>217</v>
      </c>
      <c r="C30" s="42">
        <f>C27-C31-C32</f>
        <v>20570216</v>
      </c>
      <c r="D30" s="42">
        <f t="shared" ref="D30:P30" si="34">D27-D31-D32</f>
        <v>28165287</v>
      </c>
      <c r="E30" s="42">
        <f t="shared" si="34"/>
        <v>20658304</v>
      </c>
      <c r="F30" s="42">
        <f t="shared" si="34"/>
        <v>22250153</v>
      </c>
      <c r="G30" s="42">
        <f t="shared" si="34"/>
        <v>20765383.602555238</v>
      </c>
      <c r="H30" s="42">
        <f t="shared" si="34"/>
        <v>23998704.339276168</v>
      </c>
      <c r="I30" s="42">
        <f t="shared" si="34"/>
        <v>21716275.613091331</v>
      </c>
      <c r="J30" s="42">
        <f t="shared" si="34"/>
        <v>23077099.66814781</v>
      </c>
      <c r="K30" s="42">
        <f t="shared" si="34"/>
        <v>19147731.810924508</v>
      </c>
      <c r="L30" s="42">
        <f t="shared" si="34"/>
        <v>27794152.373334114</v>
      </c>
      <c r="M30" s="42">
        <f t="shared" si="34"/>
        <v>25610769.775913842</v>
      </c>
      <c r="N30" s="42">
        <f t="shared" si="34"/>
        <v>20421258.926763836</v>
      </c>
      <c r="O30" s="42">
        <f t="shared" si="34"/>
        <v>23088272.241822362</v>
      </c>
      <c r="P30" s="42">
        <f t="shared" si="34"/>
        <v>30481604.50978747</v>
      </c>
      <c r="Q30" s="42">
        <f>Q27-Q31-Q32</f>
        <v>27891060.447556693</v>
      </c>
      <c r="R30" s="42">
        <f>R27-R31-R32</f>
        <v>28803263.207376495</v>
      </c>
      <c r="S30" s="42">
        <f>S27-S31-S32</f>
        <v>28003173.384168644</v>
      </c>
      <c r="T30" s="42">
        <f t="shared" ref="T30:Y30" si="35">T27-T31-T32</f>
        <v>30600240.016181696</v>
      </c>
      <c r="U30" s="42">
        <f t="shared" si="35"/>
        <v>35035088.200000003</v>
      </c>
      <c r="V30" s="42">
        <f t="shared" si="35"/>
        <v>40430889.279320009</v>
      </c>
      <c r="W30" s="42">
        <f t="shared" si="35"/>
        <v>37865291.868544251</v>
      </c>
      <c r="X30" s="42">
        <f t="shared" si="35"/>
        <v>42660591.718783885</v>
      </c>
      <c r="Y30" s="42">
        <f t="shared" si="35"/>
        <v>43031614.459069356</v>
      </c>
      <c r="Z30" s="42">
        <f>Z27-Z31-Z32</f>
        <v>37851147.12503624</v>
      </c>
      <c r="AA30" s="42">
        <f>AA27-AA31-AA32</f>
        <v>35374926</v>
      </c>
      <c r="AB30" s="42">
        <f>AB27-AB31-AB32</f>
        <v>46767113.710000001</v>
      </c>
      <c r="AC30" s="42">
        <f>AC27-AC31-AC32</f>
        <v>42566444</v>
      </c>
      <c r="AD30" s="42">
        <f>AD27-AD31-AD32</f>
        <v>42209218.855375402</v>
      </c>
      <c r="AE30" s="1541"/>
      <c r="AF30" s="42">
        <f t="shared" ref="AF30:AT30" si="36">AF27-AF31-AF32</f>
        <v>33954840.602555238</v>
      </c>
      <c r="AG30" s="42">
        <f t="shared" si="36"/>
        <v>38343150.339276165</v>
      </c>
      <c r="AH30" s="42">
        <f t="shared" si="36"/>
        <v>35256721.613091327</v>
      </c>
      <c r="AI30" s="42">
        <f t="shared" si="36"/>
        <v>37407602.925401531</v>
      </c>
      <c r="AJ30" s="42">
        <f t="shared" si="36"/>
        <v>33997115.810924508</v>
      </c>
      <c r="AK30" s="42">
        <f t="shared" si="36"/>
        <v>43996927.373334117</v>
      </c>
      <c r="AL30" s="42">
        <f t="shared" si="36"/>
        <v>41681736.656830572</v>
      </c>
      <c r="AM30" s="42">
        <f t="shared" si="36"/>
        <v>37496306.92676387</v>
      </c>
      <c r="AN30" s="42">
        <f t="shared" si="36"/>
        <v>40056103.241822362</v>
      </c>
      <c r="AO30" s="42">
        <f t="shared" si="36"/>
        <v>48138185.064892083</v>
      </c>
      <c r="AP30" s="42">
        <f t="shared" si="36"/>
        <v>44680191.447556689</v>
      </c>
      <c r="AQ30" s="42">
        <f t="shared" si="36"/>
        <v>46168310.207376465</v>
      </c>
      <c r="AR30" s="42">
        <f t="shared" si="36"/>
        <v>45451532.279980838</v>
      </c>
      <c r="AS30" s="42">
        <f t="shared" si="36"/>
        <v>49586400.012181699</v>
      </c>
      <c r="AT30" s="42">
        <f t="shared" si="36"/>
        <v>56993636.184024297</v>
      </c>
      <c r="AU30" s="42">
        <f t="shared" ref="AU30:AY30" si="37">AU27-AU31-AU32</f>
        <v>63119091.852042608</v>
      </c>
      <c r="AV30" s="42">
        <f t="shared" si="37"/>
        <v>61399757.291465349</v>
      </c>
      <c r="AW30" s="42">
        <f t="shared" si="37"/>
        <v>67460594.889317587</v>
      </c>
      <c r="AX30" s="42">
        <f t="shared" si="37"/>
        <v>67219876.844841957</v>
      </c>
      <c r="AY30" s="42">
        <f t="shared" si="37"/>
        <v>62173606.700325437</v>
      </c>
      <c r="AZ30" s="42">
        <f>AZ27-AZ31-AZ32</f>
        <v>60307182</v>
      </c>
      <c r="BA30" s="42">
        <f>BA27-BA31-BA32</f>
        <v>72455254</v>
      </c>
      <c r="BB30" s="42">
        <f>BB27-BB31-BB32</f>
        <v>68646671</v>
      </c>
      <c r="BC30" s="42">
        <f>BC27-BC31-BC32</f>
        <v>68866644.904793903</v>
      </c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pans="2:65" outlineLevel="1">
      <c r="B31" s="36" t="s">
        <v>188</v>
      </c>
      <c r="C31" s="34"/>
      <c r="D31" s="34"/>
      <c r="E31" s="34"/>
      <c r="F31" s="34"/>
      <c r="G31" s="34"/>
      <c r="H31" s="34"/>
      <c r="I31" s="34"/>
      <c r="J31" s="34"/>
      <c r="K31" s="37">
        <v>-418223</v>
      </c>
      <c r="L31" s="37">
        <v>-556922</v>
      </c>
      <c r="M31" s="37">
        <v>-570991</v>
      </c>
      <c r="N31" s="37">
        <v>-453132.55826127972</v>
      </c>
      <c r="O31" s="37">
        <v>-344165</v>
      </c>
      <c r="P31" s="37">
        <v>-5447.4646498874063</v>
      </c>
      <c r="Q31" s="37">
        <v>-292672.24039395363</v>
      </c>
      <c r="R31" s="37">
        <v>-211479.94942106202</v>
      </c>
      <c r="S31" s="37">
        <v>-324903.98416864598</v>
      </c>
      <c r="T31" s="37">
        <v>-350032.31218169507</v>
      </c>
      <c r="U31" s="37">
        <v>48908.4</v>
      </c>
      <c r="V31" s="37">
        <v>-285275.86563610903</v>
      </c>
      <c r="W31" s="37">
        <v>-202986.9285442523</v>
      </c>
      <c r="X31" s="37">
        <v>-218260.12205048901</v>
      </c>
      <c r="Y31" s="37">
        <v>-279643.18804535602</v>
      </c>
      <c r="Z31" s="37">
        <v>-199144.68584123801</v>
      </c>
      <c r="AA31" s="37">
        <v>-140245</v>
      </c>
      <c r="AB31" s="37">
        <v>-198026</v>
      </c>
      <c r="AC31" s="37">
        <v>-186237</v>
      </c>
      <c r="AD31" s="37">
        <v>-136811</v>
      </c>
      <c r="AE31" s="1541"/>
      <c r="AF31" s="34"/>
      <c r="AH31" s="34"/>
      <c r="AI31" s="37"/>
      <c r="AJ31" s="37">
        <v>-418223</v>
      </c>
      <c r="AK31" s="37">
        <v>-556922</v>
      </c>
      <c r="AL31" s="37">
        <v>-570991</v>
      </c>
      <c r="AM31" s="37">
        <v>-453132.55826127972</v>
      </c>
      <c r="AN31" s="37">
        <v>-344165</v>
      </c>
      <c r="AO31" s="37">
        <v>-5447.4646498874063</v>
      </c>
      <c r="AP31" s="37">
        <v>-292672.24039395363</v>
      </c>
      <c r="AQ31" s="37">
        <v>-211479.94942106202</v>
      </c>
      <c r="AR31" s="37">
        <v>-324903.98416864598</v>
      </c>
      <c r="AS31" s="37">
        <v>-350032.31218169507</v>
      </c>
      <c r="AT31" s="37">
        <v>48908.4</v>
      </c>
      <c r="AU31" s="37">
        <v>-285275.86563610903</v>
      </c>
      <c r="AV31" s="37">
        <v>-202986.9285442523</v>
      </c>
      <c r="AW31" s="37">
        <v>-218260.12205048901</v>
      </c>
      <c r="AX31" s="37">
        <v>-279643.18804535602</v>
      </c>
      <c r="AY31" s="37">
        <v>-199144.68584123801</v>
      </c>
      <c r="AZ31" s="37">
        <v>-140245</v>
      </c>
      <c r="BA31" s="37">
        <v>-198026</v>
      </c>
      <c r="BB31" s="37">
        <v>-186237</v>
      </c>
      <c r="BC31" s="37">
        <v>-136811</v>
      </c>
    </row>
    <row r="32" spans="2:65" outlineLevel="1">
      <c r="B32" s="36" t="s">
        <v>189</v>
      </c>
      <c r="C32" s="34"/>
      <c r="D32" s="34"/>
      <c r="E32" s="34"/>
      <c r="F32" s="34"/>
      <c r="G32" s="34"/>
      <c r="H32" s="34"/>
      <c r="I32" s="34"/>
      <c r="J32" s="34"/>
      <c r="K32" s="37"/>
      <c r="L32" s="37">
        <v>-2923762.0497900001</v>
      </c>
      <c r="M32" s="37">
        <v>-4938928</v>
      </c>
      <c r="N32" s="37">
        <v>0</v>
      </c>
      <c r="O32" s="37">
        <v>0</v>
      </c>
      <c r="P32" s="37">
        <v>0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1541"/>
      <c r="AF32" s="34"/>
      <c r="AG32" s="34"/>
      <c r="AH32" s="34"/>
      <c r="AI32" s="37"/>
      <c r="AJ32" s="37"/>
      <c r="AK32" s="37">
        <v>-2923762.0497900001</v>
      </c>
      <c r="AL32" s="37">
        <v>-4938928</v>
      </c>
      <c r="AM32" s="37">
        <v>0</v>
      </c>
      <c r="AN32" s="37">
        <v>0</v>
      </c>
      <c r="AO32" s="37">
        <v>0</v>
      </c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</row>
    <row r="33" spans="2:55">
      <c r="B33" s="44" t="s">
        <v>1097</v>
      </c>
      <c r="C33" s="45">
        <f t="shared" ref="C33:AB33" si="38">C30/C7</f>
        <v>7.7046890301238902E-2</v>
      </c>
      <c r="D33" s="45">
        <f t="shared" si="38"/>
        <v>9.7781959069725699E-2</v>
      </c>
      <c r="E33" s="45">
        <f t="shared" si="38"/>
        <v>7.224178410507677E-2</v>
      </c>
      <c r="F33" s="45">
        <f t="shared" si="38"/>
        <v>7.3595834783560979E-2</v>
      </c>
      <c r="G33" s="45">
        <f t="shared" si="38"/>
        <v>7.1961758687647606E-2</v>
      </c>
      <c r="H33" s="45">
        <f t="shared" si="38"/>
        <v>7.8247838300707445E-2</v>
      </c>
      <c r="I33" s="45">
        <f t="shared" si="38"/>
        <v>7.0027239763916296E-2</v>
      </c>
      <c r="J33" s="45">
        <f t="shared" si="38"/>
        <v>6.9584563970440771E-2</v>
      </c>
      <c r="K33" s="45">
        <f t="shared" si="38"/>
        <v>6.0356902572402289E-2</v>
      </c>
      <c r="L33" s="45">
        <f t="shared" si="38"/>
        <v>8.1585572097574152E-2</v>
      </c>
      <c r="M33" s="45">
        <f t="shared" si="38"/>
        <v>7.4757890089354948E-2</v>
      </c>
      <c r="N33" s="45">
        <f t="shared" si="38"/>
        <v>5.5461516694312693E-2</v>
      </c>
      <c r="O33" s="45">
        <f t="shared" si="38"/>
        <v>6.1398737230971764E-2</v>
      </c>
      <c r="P33" s="45">
        <f t="shared" si="38"/>
        <v>7.8698150430657934E-2</v>
      </c>
      <c r="Q33" s="45">
        <f t="shared" si="38"/>
        <v>7.2786704304525274E-2</v>
      </c>
      <c r="R33" s="45">
        <f t="shared" si="38"/>
        <v>7.0730209846094627E-2</v>
      </c>
      <c r="S33" s="45">
        <f t="shared" si="38"/>
        <v>7.037935933852095E-2</v>
      </c>
      <c r="T33" s="45">
        <f t="shared" si="38"/>
        <v>7.211230828010759E-2</v>
      </c>
      <c r="U33" s="45">
        <f t="shared" si="38"/>
        <v>7.1603046408262261E-2</v>
      </c>
      <c r="V33" s="45">
        <f t="shared" si="38"/>
        <v>7.4246087159306556E-2</v>
      </c>
      <c r="W33" s="45">
        <f t="shared" si="38"/>
        <v>6.9134126426403333E-2</v>
      </c>
      <c r="X33" s="45">
        <f t="shared" si="38"/>
        <v>7.2483227325496391E-2</v>
      </c>
      <c r="Y33" s="45">
        <f t="shared" si="38"/>
        <v>7.2392315931218781E-2</v>
      </c>
      <c r="Z33" s="45">
        <f t="shared" si="38"/>
        <v>6.0921690074712993E-2</v>
      </c>
      <c r="AA33" s="45">
        <f t="shared" si="38"/>
        <v>5.9274628835740466E-2</v>
      </c>
      <c r="AB33" s="45">
        <f t="shared" si="38"/>
        <v>7.3921530820626691E-2</v>
      </c>
      <c r="AC33" s="45">
        <f t="shared" ref="AC33:AD33" si="39">AC30/AC7</f>
        <v>6.7728607354258452E-2</v>
      </c>
      <c r="AD33" s="45">
        <f t="shared" si="39"/>
        <v>6.1462514575540278E-2</v>
      </c>
      <c r="AE33" s="1541"/>
      <c r="AF33" s="45">
        <f t="shared" ref="AF33:BC33" si="40">AF30/AF7</f>
        <v>0.11766939116010099</v>
      </c>
      <c r="AG33" s="45">
        <f t="shared" si="40"/>
        <v>0.12501794202186037</v>
      </c>
      <c r="AH33" s="45">
        <f t="shared" si="40"/>
        <v>0.11369034643312587</v>
      </c>
      <c r="AI33" s="45">
        <f t="shared" si="40"/>
        <v>0.11279544519745996</v>
      </c>
      <c r="AJ33" s="45">
        <f t="shared" si="40"/>
        <v>0.10716468284624327</v>
      </c>
      <c r="AK33" s="45">
        <f t="shared" si="40"/>
        <v>0.12914639173284115</v>
      </c>
      <c r="AL33" s="45">
        <f t="shared" si="40"/>
        <v>0.12166907574388169</v>
      </c>
      <c r="AM33" s="45">
        <f t="shared" si="40"/>
        <v>0.10183515424057855</v>
      </c>
      <c r="AN33" s="45">
        <f t="shared" si="40"/>
        <v>0.1065213599216988</v>
      </c>
      <c r="AO33" s="45">
        <f t="shared" si="40"/>
        <v>0.12428434101883643</v>
      </c>
      <c r="AP33" s="45">
        <f t="shared" si="40"/>
        <v>0.11660094062317304</v>
      </c>
      <c r="AQ33" s="45">
        <f t="shared" si="40"/>
        <v>0.11337237193218577</v>
      </c>
      <c r="AR33" s="45">
        <f t="shared" si="40"/>
        <v>0.11423168634108487</v>
      </c>
      <c r="AS33" s="45">
        <f t="shared" si="40"/>
        <v>0.11685495835048833</v>
      </c>
      <c r="AT33" s="45">
        <f t="shared" si="40"/>
        <v>0.11648088208625317</v>
      </c>
      <c r="AU33" s="45">
        <f t="shared" si="40"/>
        <v>0.11591003014272185</v>
      </c>
      <c r="AV33" s="45">
        <f t="shared" si="40"/>
        <v>0.11210315235058135</v>
      </c>
      <c r="AW33" s="45">
        <f t="shared" si="40"/>
        <v>0.11462010811075121</v>
      </c>
      <c r="AX33" s="45">
        <f t="shared" si="40"/>
        <v>0.11308435954774675</v>
      </c>
      <c r="AY33" s="45">
        <f t="shared" si="40"/>
        <v>0.10006886147233772</v>
      </c>
      <c r="AZ33" s="45">
        <f t="shared" si="40"/>
        <v>0.10105140090411634</v>
      </c>
      <c r="BA33" s="45">
        <f t="shared" si="40"/>
        <v>0.11452499131953241</v>
      </c>
      <c r="BB33" s="45">
        <f t="shared" si="40"/>
        <v>0.10922555396772068</v>
      </c>
      <c r="BC33" s="45">
        <f t="shared" si="40"/>
        <v>0.1002794480468432</v>
      </c>
    </row>
    <row r="34" spans="2:55">
      <c r="B34" s="47"/>
      <c r="C34" s="37"/>
      <c r="D34" s="37"/>
      <c r="E34" s="37"/>
      <c r="F34" s="37"/>
      <c r="G34" s="49"/>
      <c r="H34" s="49"/>
      <c r="I34" s="49"/>
      <c r="J34" s="49"/>
      <c r="K34" s="49"/>
      <c r="L34" s="49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1541"/>
      <c r="AF34" s="48"/>
      <c r="AG34" s="48"/>
    </row>
    <row r="35" spans="2:55">
      <c r="B35" s="47"/>
      <c r="C35" s="47"/>
      <c r="D35" s="47"/>
      <c r="E35" s="48"/>
      <c r="F35" s="48"/>
      <c r="G35" s="49"/>
      <c r="H35" s="49"/>
      <c r="I35" s="49"/>
      <c r="J35" s="49"/>
      <c r="K35" s="49"/>
      <c r="L35" s="49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  <c r="AF35" s="48"/>
      <c r="AG35" s="48"/>
    </row>
    <row r="36" spans="2:55">
      <c r="B36" s="33"/>
      <c r="C36" s="47"/>
      <c r="D36" s="47"/>
      <c r="E36" s="48"/>
      <c r="F36" s="48"/>
      <c r="G36" s="49"/>
      <c r="H36" s="49"/>
      <c r="I36" s="49"/>
      <c r="J36" s="49"/>
      <c r="K36" s="49"/>
      <c r="L36" s="49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9"/>
      <c r="AF36" s="48"/>
      <c r="AG36" s="48"/>
      <c r="AO36" s="48"/>
      <c r="AP36" s="48"/>
      <c r="AQ36" s="48"/>
      <c r="AR36" s="48"/>
      <c r="AS36" s="48"/>
      <c r="AT36" s="48"/>
      <c r="AU36" s="48"/>
      <c r="AV36" s="48"/>
      <c r="AZ36" s="48"/>
      <c r="BA36" s="48"/>
      <c r="BB36" s="48"/>
      <c r="BC36" s="48"/>
    </row>
    <row r="37" spans="2:55">
      <c r="B37" s="36"/>
      <c r="C37" s="1377"/>
      <c r="D37" s="1377"/>
      <c r="E37" s="1377"/>
      <c r="F37" s="1377"/>
      <c r="G37" s="1377"/>
      <c r="H37" s="1377"/>
      <c r="I37" s="1377"/>
      <c r="J37" s="1377"/>
      <c r="K37" s="1377"/>
      <c r="L37" s="1377"/>
      <c r="M37" s="1377"/>
      <c r="N37" s="1377"/>
      <c r="O37" s="1377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1377"/>
      <c r="AF37" s="1377"/>
      <c r="AG37" s="1377"/>
      <c r="AH37" s="1377"/>
      <c r="AI37" s="1377"/>
      <c r="AJ37" s="1377"/>
      <c r="AK37" s="1377"/>
      <c r="AL37" s="1377"/>
      <c r="AM37" s="1377"/>
      <c r="AN37" s="1376"/>
      <c r="AO37" s="48"/>
      <c r="AP37" s="48"/>
      <c r="AQ37" s="48"/>
      <c r="AR37" s="48"/>
      <c r="AS37" s="48"/>
      <c r="AT37" s="48"/>
      <c r="AU37" s="48"/>
      <c r="AV37" s="48"/>
      <c r="AZ37" s="48"/>
      <c r="BA37" s="48"/>
      <c r="BB37" s="48"/>
      <c r="BC37" s="48"/>
    </row>
    <row r="38" spans="2:55">
      <c r="B38" s="38"/>
      <c r="C38" s="1377"/>
      <c r="D38" s="1377"/>
      <c r="E38" s="1377"/>
      <c r="F38" s="1377"/>
      <c r="G38" s="1377"/>
      <c r="H38" s="1377"/>
      <c r="I38" s="1377"/>
      <c r="J38" s="1377"/>
      <c r="K38" s="1377"/>
      <c r="L38" s="1377"/>
      <c r="M38" s="1377"/>
      <c r="N38" s="1377"/>
      <c r="O38" s="1377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1377"/>
      <c r="AF38" s="1377"/>
      <c r="AG38" s="1377"/>
      <c r="AH38" s="1377"/>
      <c r="AI38" s="1377"/>
      <c r="AJ38" s="1377"/>
      <c r="AK38" s="1377"/>
      <c r="AL38" s="1377"/>
      <c r="AM38" s="1377"/>
      <c r="AO38" s="48"/>
      <c r="AP38" s="48"/>
      <c r="AQ38" s="48"/>
      <c r="AR38" s="48"/>
      <c r="AS38" s="48"/>
      <c r="AT38" s="48"/>
      <c r="AU38" s="48"/>
      <c r="AV38" s="48"/>
      <c r="AZ38" s="48"/>
      <c r="BA38" s="48"/>
      <c r="BB38" s="48"/>
      <c r="BC38" s="48"/>
    </row>
    <row r="39" spans="2:55">
      <c r="B39" s="38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1377"/>
      <c r="AF39" s="1377"/>
      <c r="AG39" s="1377"/>
      <c r="AH39" s="1377"/>
      <c r="AI39" s="1377"/>
      <c r="AJ39" s="1377"/>
      <c r="AK39" s="1377"/>
      <c r="AL39" s="1378"/>
      <c r="AM39" s="1378"/>
      <c r="AO39" s="48"/>
      <c r="AP39" s="48"/>
      <c r="AQ39" s="48"/>
      <c r="AR39" s="48"/>
      <c r="AS39" s="48"/>
      <c r="AT39" s="48"/>
      <c r="AU39" s="48"/>
      <c r="AV39" s="48"/>
      <c r="AZ39" s="48"/>
      <c r="BA39" s="48"/>
      <c r="BB39" s="48"/>
      <c r="BC39" s="48"/>
    </row>
    <row r="40" spans="2:55">
      <c r="B40" s="38"/>
      <c r="C40" s="1377"/>
      <c r="D40" s="1377"/>
      <c r="E40" s="1377"/>
      <c r="F40" s="1377"/>
      <c r="G40" s="1377"/>
      <c r="H40" s="1377"/>
      <c r="I40" s="1377"/>
      <c r="J40" s="1377"/>
      <c r="K40" s="1377"/>
      <c r="L40" s="1377"/>
      <c r="M40" s="1377"/>
      <c r="N40" s="1377"/>
      <c r="O40" s="1377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1377"/>
      <c r="AF40" s="1377"/>
      <c r="AG40" s="1377"/>
      <c r="AH40" s="1377"/>
      <c r="AI40" s="1377"/>
      <c r="AJ40" s="1377"/>
      <c r="AK40" s="1377"/>
      <c r="AL40" s="1378"/>
      <c r="AM40" s="1378"/>
      <c r="AO40" s="48"/>
      <c r="AP40" s="48"/>
      <c r="AQ40" s="48"/>
      <c r="AR40" s="48"/>
      <c r="AS40" s="48"/>
      <c r="AT40" s="48"/>
      <c r="AU40" s="48"/>
      <c r="AV40" s="48"/>
      <c r="AZ40" s="48"/>
      <c r="BA40" s="48"/>
      <c r="BB40" s="48"/>
      <c r="BC40" s="48"/>
    </row>
    <row r="41" spans="2:55" s="46" customFormat="1">
      <c r="B41" s="38"/>
      <c r="C41" s="1377"/>
      <c r="D41" s="1377"/>
      <c r="E41" s="1377"/>
      <c r="F41" s="1377"/>
      <c r="G41" s="1377"/>
      <c r="H41" s="1377"/>
      <c r="I41" s="1377"/>
      <c r="J41" s="1377"/>
      <c r="K41" s="1377"/>
      <c r="L41" s="1377"/>
      <c r="M41" s="1377"/>
      <c r="N41" s="1377"/>
      <c r="O41" s="1377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1377"/>
      <c r="AF41" s="1377"/>
      <c r="AG41" s="1377"/>
      <c r="AH41" s="1377"/>
      <c r="AI41" s="1377"/>
      <c r="AJ41" s="1377"/>
      <c r="AK41" s="1377"/>
      <c r="AL41" s="1377"/>
      <c r="AM41" s="1377"/>
      <c r="AO41" s="48"/>
      <c r="AP41" s="48"/>
      <c r="AQ41" s="48"/>
      <c r="AR41" s="48"/>
      <c r="AS41" s="48"/>
      <c r="AT41" s="48"/>
      <c r="AU41" s="48"/>
      <c r="AV41" s="48"/>
      <c r="AZ41" s="48"/>
      <c r="BA41" s="48"/>
      <c r="BB41" s="48"/>
      <c r="BC41" s="48"/>
    </row>
    <row r="42" spans="2:55" s="43" customFormat="1">
      <c r="B42" s="44"/>
      <c r="C42" s="1377"/>
      <c r="D42" s="1377"/>
      <c r="E42" s="1377"/>
      <c r="F42" s="1377"/>
      <c r="G42" s="1377"/>
      <c r="H42" s="1377"/>
      <c r="I42" s="1377"/>
      <c r="J42" s="1377"/>
      <c r="K42" s="1377"/>
      <c r="L42" s="1377"/>
      <c r="M42" s="1377"/>
      <c r="N42" s="1377"/>
      <c r="O42" s="1377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1377"/>
      <c r="AF42" s="1377"/>
      <c r="AG42" s="1377"/>
      <c r="AH42" s="1377"/>
      <c r="AI42" s="1377"/>
      <c r="AJ42" s="1377"/>
      <c r="AK42" s="1377"/>
      <c r="AL42" s="1377"/>
      <c r="AM42" s="1377"/>
      <c r="AO42" s="48"/>
      <c r="AP42" s="48"/>
      <c r="AQ42" s="48"/>
      <c r="AR42" s="48"/>
      <c r="AS42" s="48"/>
      <c r="AT42" s="48"/>
      <c r="AU42" s="48"/>
      <c r="AV42" s="48"/>
      <c r="AZ42" s="48"/>
      <c r="BA42" s="48"/>
      <c r="BB42" s="48"/>
      <c r="BC42" s="48"/>
    </row>
    <row r="43" spans="2:55" s="43" customFormat="1">
      <c r="B43" s="36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1377"/>
      <c r="AF43" s="1377"/>
      <c r="AG43" s="1377"/>
      <c r="AH43" s="1377"/>
      <c r="AI43" s="1377"/>
      <c r="AJ43" s="1377"/>
      <c r="AK43" s="1377"/>
      <c r="AL43" s="1377"/>
      <c r="AM43" s="1377"/>
      <c r="AO43" s="48"/>
      <c r="AP43" s="48"/>
      <c r="AQ43" s="48"/>
      <c r="AR43" s="48"/>
      <c r="AS43" s="48"/>
      <c r="AT43" s="48"/>
      <c r="AU43" s="48"/>
      <c r="AV43" s="48"/>
      <c r="AZ43" s="48"/>
      <c r="BA43" s="48"/>
      <c r="BB43" s="48"/>
      <c r="BC43" s="48"/>
    </row>
    <row r="44" spans="2:55">
      <c r="B44" s="36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377"/>
      <c r="AF44" s="1377"/>
      <c r="AG44" s="1377"/>
      <c r="AH44" s="1377"/>
      <c r="AI44" s="1377"/>
      <c r="AJ44" s="1377"/>
      <c r="AK44" s="1377"/>
      <c r="AL44" s="1377"/>
      <c r="AM44" s="1377"/>
      <c r="AO44" s="48"/>
      <c r="AP44" s="48"/>
      <c r="AQ44" s="48"/>
      <c r="AR44" s="48"/>
      <c r="AS44" s="48"/>
      <c r="AT44" s="48"/>
      <c r="AU44" s="48"/>
      <c r="AV44" s="48"/>
      <c r="AZ44" s="48"/>
      <c r="BA44" s="48"/>
      <c r="BB44" s="48"/>
      <c r="BC44" s="48"/>
    </row>
    <row r="45" spans="2:55">
      <c r="B45" s="95"/>
      <c r="C45" s="1377"/>
      <c r="D45" s="1377"/>
      <c r="E45" s="1377"/>
      <c r="F45" s="1377"/>
      <c r="G45" s="1377"/>
      <c r="H45" s="1377"/>
      <c r="I45" s="1377"/>
      <c r="J45" s="1377"/>
      <c r="K45" s="1377"/>
      <c r="L45" s="1377"/>
      <c r="M45" s="1377"/>
      <c r="N45" s="1377"/>
      <c r="O45" s="1377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1377"/>
      <c r="AF45" s="1377"/>
      <c r="AG45" s="1377"/>
      <c r="AH45" s="1377"/>
      <c r="AI45" s="1377"/>
      <c r="AJ45" s="1377"/>
      <c r="AK45" s="1377"/>
      <c r="AL45" s="1377"/>
      <c r="AM45" s="1377"/>
      <c r="AO45" s="48"/>
      <c r="AP45" s="48"/>
      <c r="AQ45" s="48"/>
      <c r="AR45" s="48"/>
      <c r="AS45" s="48"/>
      <c r="AT45" s="48"/>
      <c r="AU45" s="48"/>
      <c r="AV45" s="48"/>
      <c r="AZ45" s="48"/>
      <c r="BA45" s="48"/>
      <c r="BB45" s="48"/>
      <c r="BC45" s="48"/>
    </row>
    <row r="46" spans="2:55">
      <c r="B46" s="44"/>
      <c r="C46" s="1377"/>
      <c r="D46" s="1377"/>
      <c r="E46" s="1377"/>
      <c r="F46" s="1377"/>
      <c r="G46" s="1377"/>
      <c r="H46" s="1377"/>
      <c r="I46" s="1377"/>
      <c r="J46" s="1377"/>
      <c r="K46" s="1377"/>
      <c r="L46" s="1377"/>
      <c r="M46" s="1377"/>
      <c r="N46" s="1377"/>
      <c r="O46" s="1377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1377"/>
      <c r="AF46" s="1377"/>
      <c r="AG46" s="1377"/>
      <c r="AH46" s="1377"/>
      <c r="AI46" s="1377"/>
      <c r="AJ46" s="1377"/>
      <c r="AK46" s="1377"/>
      <c r="AL46" s="1377"/>
      <c r="AM46" s="1377"/>
      <c r="AO46" s="48"/>
      <c r="AP46" s="48"/>
      <c r="AQ46" s="48"/>
      <c r="AR46" s="48"/>
      <c r="AS46" s="48"/>
      <c r="AT46" s="48"/>
      <c r="AU46" s="48"/>
      <c r="AV46" s="48"/>
      <c r="AZ46" s="48"/>
      <c r="BA46" s="48"/>
      <c r="BB46" s="48"/>
      <c r="BC46" s="48"/>
    </row>
    <row r="47" spans="2:55">
      <c r="B47" s="36"/>
      <c r="C47" s="1377"/>
      <c r="D47" s="1377"/>
      <c r="E47" s="1377"/>
      <c r="F47" s="1377"/>
      <c r="G47" s="1377"/>
      <c r="H47" s="1377"/>
      <c r="I47" s="1377"/>
      <c r="J47" s="1377"/>
      <c r="K47" s="1377"/>
      <c r="L47" s="1377"/>
      <c r="M47" s="1377"/>
      <c r="N47" s="1377"/>
      <c r="O47" s="1377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1377"/>
      <c r="AF47" s="1377"/>
      <c r="AG47" s="1377"/>
      <c r="AH47" s="1377"/>
      <c r="AI47" s="1377"/>
      <c r="AJ47" s="1377"/>
      <c r="AK47" s="1377"/>
      <c r="AL47" s="1377"/>
      <c r="AM47" s="1377"/>
      <c r="AO47" s="48"/>
      <c r="AP47" s="48"/>
      <c r="AQ47" s="48"/>
      <c r="AR47" s="48"/>
      <c r="AS47" s="48"/>
      <c r="AT47" s="48"/>
      <c r="AU47" s="48"/>
      <c r="AV47" s="48"/>
      <c r="AZ47" s="48"/>
      <c r="BA47" s="48"/>
      <c r="BB47" s="48"/>
      <c r="BC47" s="48"/>
    </row>
    <row r="48" spans="2:55">
      <c r="B48" s="1481"/>
      <c r="C48" s="1377"/>
      <c r="D48" s="1377"/>
      <c r="E48" s="1377"/>
      <c r="F48" s="1377"/>
      <c r="G48" s="1377"/>
      <c r="H48" s="1377"/>
      <c r="I48" s="1377"/>
      <c r="J48" s="1377"/>
      <c r="K48" s="1377"/>
      <c r="L48" s="1377"/>
      <c r="M48" s="1377"/>
      <c r="N48" s="1377"/>
      <c r="O48" s="1377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1377"/>
      <c r="AF48" s="1377"/>
      <c r="AG48" s="1377"/>
      <c r="AH48" s="1377"/>
      <c r="AI48" s="1377"/>
      <c r="AJ48" s="1377"/>
      <c r="AK48" s="1377"/>
      <c r="AL48" s="1378"/>
      <c r="AM48" s="1378"/>
      <c r="AO48" s="48"/>
      <c r="AP48" s="48"/>
      <c r="AQ48" s="48"/>
      <c r="AR48" s="48"/>
      <c r="AS48" s="48"/>
      <c r="AT48" s="48"/>
      <c r="AU48" s="48"/>
      <c r="AV48" s="48"/>
      <c r="AZ48" s="48"/>
      <c r="BA48" s="48"/>
      <c r="BB48" s="48"/>
      <c r="BC48" s="48"/>
    </row>
    <row r="49" spans="2:55">
      <c r="B49" s="1481"/>
      <c r="C49" s="1377"/>
      <c r="D49" s="1377"/>
      <c r="E49" s="1377"/>
      <c r="F49" s="1377"/>
      <c r="G49" s="1377"/>
      <c r="H49" s="1377"/>
      <c r="I49" s="1377"/>
      <c r="J49" s="1377"/>
      <c r="K49" s="1377"/>
      <c r="L49" s="1377"/>
      <c r="M49" s="1377"/>
      <c r="N49" s="1377"/>
      <c r="O49" s="1377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1377"/>
      <c r="AF49" s="1377"/>
      <c r="AG49" s="1377"/>
      <c r="AH49" s="1377"/>
      <c r="AI49" s="1377"/>
      <c r="AJ49" s="1377"/>
      <c r="AK49" s="1377"/>
      <c r="AL49" s="1378"/>
      <c r="AM49" s="1378"/>
      <c r="AO49" s="48"/>
      <c r="AP49" s="48"/>
      <c r="AQ49" s="48"/>
      <c r="AR49" s="48"/>
      <c r="AS49" s="48"/>
      <c r="AT49" s="48"/>
      <c r="AU49" s="48"/>
      <c r="AV49" s="48"/>
      <c r="AZ49" s="48"/>
      <c r="BA49" s="48"/>
      <c r="BB49" s="48"/>
      <c r="BC49" s="48"/>
    </row>
    <row r="50" spans="2:55">
      <c r="B50" s="36"/>
      <c r="C50" s="1377"/>
      <c r="D50" s="1377"/>
      <c r="E50" s="1377"/>
      <c r="F50" s="1377"/>
      <c r="G50" s="1377"/>
      <c r="H50" s="1377"/>
      <c r="I50" s="1377"/>
      <c r="J50" s="1377"/>
      <c r="K50" s="1377"/>
      <c r="L50" s="1377"/>
      <c r="M50" s="1377"/>
      <c r="N50" s="1377"/>
      <c r="O50" s="1377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1377"/>
      <c r="AF50" s="1377"/>
      <c r="AG50" s="1377"/>
      <c r="AH50" s="1377"/>
      <c r="AI50" s="1377"/>
      <c r="AJ50" s="1377"/>
      <c r="AK50" s="1377"/>
      <c r="AL50" s="1377"/>
      <c r="AM50" s="1377"/>
      <c r="AO50" s="48"/>
      <c r="AP50" s="48"/>
      <c r="AQ50" s="48"/>
      <c r="AR50" s="48"/>
      <c r="AS50" s="48"/>
      <c r="AT50" s="48"/>
      <c r="AU50" s="48"/>
      <c r="AV50" s="48"/>
      <c r="AZ50" s="48"/>
      <c r="BA50" s="48"/>
      <c r="BB50" s="48"/>
      <c r="BC50" s="48"/>
    </row>
    <row r="51" spans="2:55">
      <c r="B51" s="36"/>
      <c r="C51" s="1377"/>
      <c r="D51" s="1377"/>
      <c r="E51" s="1377"/>
      <c r="F51" s="1377"/>
      <c r="G51" s="1377"/>
      <c r="H51" s="1377"/>
      <c r="I51" s="1377"/>
      <c r="J51" s="1377"/>
      <c r="K51" s="1377"/>
      <c r="L51" s="1377"/>
      <c r="M51" s="1377"/>
      <c r="N51" s="1377"/>
      <c r="O51" s="1377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1377"/>
      <c r="AF51" s="1377"/>
      <c r="AG51" s="1377"/>
      <c r="AH51" s="1377"/>
      <c r="AI51" s="1377"/>
      <c r="AJ51" s="1377"/>
      <c r="AK51" s="1377"/>
      <c r="AL51" s="1378"/>
      <c r="AM51" s="1378"/>
      <c r="AO51" s="48"/>
      <c r="AP51" s="48"/>
      <c r="AQ51" s="48"/>
      <c r="AR51" s="48"/>
      <c r="AS51" s="48"/>
      <c r="AT51" s="48"/>
      <c r="AU51" s="48"/>
      <c r="AV51" s="48"/>
      <c r="AZ51" s="48"/>
      <c r="BA51" s="48"/>
      <c r="BB51" s="48"/>
      <c r="BC51" s="48"/>
    </row>
    <row r="52" spans="2:55">
      <c r="B52" s="95"/>
      <c r="C52" s="1377"/>
      <c r="D52" s="1377"/>
      <c r="E52" s="1377"/>
      <c r="F52" s="1377"/>
      <c r="G52" s="1377"/>
      <c r="H52" s="1377"/>
      <c r="I52" s="1377"/>
      <c r="J52" s="1377"/>
      <c r="K52" s="1377"/>
      <c r="L52" s="1377"/>
      <c r="M52" s="1377"/>
      <c r="N52" s="1377"/>
      <c r="O52" s="1377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1377"/>
      <c r="AF52" s="1377"/>
      <c r="AG52" s="1377"/>
      <c r="AH52" s="1377"/>
      <c r="AI52" s="1377"/>
      <c r="AJ52" s="1377"/>
      <c r="AK52" s="1377"/>
      <c r="AL52" s="1378"/>
      <c r="AM52" s="1378"/>
      <c r="AO52" s="48"/>
      <c r="AP52" s="48"/>
      <c r="AQ52" s="48"/>
      <c r="AR52" s="48"/>
      <c r="AS52" s="48"/>
      <c r="AT52" s="48"/>
      <c r="AU52" s="48"/>
      <c r="AV52" s="48"/>
      <c r="AZ52" s="48"/>
      <c r="BA52" s="48"/>
      <c r="BB52" s="48"/>
      <c r="BC52" s="48"/>
    </row>
    <row r="53" spans="2:55">
      <c r="B53" s="36"/>
      <c r="C53" s="1377"/>
      <c r="D53" s="1377"/>
      <c r="E53" s="1377"/>
      <c r="F53" s="1377"/>
      <c r="G53" s="1377"/>
      <c r="H53" s="1377"/>
      <c r="I53" s="1377"/>
      <c r="J53" s="1377"/>
      <c r="K53" s="1377"/>
      <c r="L53" s="1377"/>
      <c r="M53" s="1377"/>
      <c r="N53" s="1377"/>
      <c r="O53" s="1377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1377"/>
      <c r="AF53" s="1377"/>
      <c r="AG53" s="1377"/>
      <c r="AH53" s="1377"/>
      <c r="AI53" s="1377"/>
      <c r="AJ53" s="1377"/>
      <c r="AK53" s="1377"/>
      <c r="AL53" s="1378"/>
      <c r="AM53" s="1378"/>
      <c r="AO53" s="48"/>
      <c r="AP53" s="48"/>
      <c r="AQ53" s="48"/>
      <c r="AR53" s="48"/>
      <c r="AS53" s="48"/>
      <c r="AT53" s="48"/>
      <c r="AU53" s="48"/>
      <c r="AV53" s="48"/>
      <c r="AZ53" s="48"/>
      <c r="BA53" s="48"/>
      <c r="BB53" s="48"/>
      <c r="BC53" s="48"/>
    </row>
    <row r="54" spans="2:55">
      <c r="B54" s="36"/>
      <c r="C54" s="1377"/>
      <c r="D54" s="1377"/>
      <c r="E54" s="1377"/>
      <c r="F54" s="1377"/>
      <c r="G54" s="1377"/>
      <c r="H54" s="1377"/>
      <c r="I54" s="1377"/>
      <c r="J54" s="1377"/>
      <c r="K54" s="1377"/>
      <c r="L54" s="1377"/>
      <c r="M54" s="1377"/>
      <c r="N54" s="1377"/>
      <c r="O54" s="1377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1377"/>
      <c r="AF54" s="1377"/>
      <c r="AG54" s="1377"/>
      <c r="AH54" s="1377"/>
      <c r="AI54" s="1377"/>
      <c r="AJ54" s="1377"/>
      <c r="AK54" s="1377"/>
      <c r="AL54" s="1377"/>
      <c r="AM54" s="1377"/>
      <c r="AO54" s="48"/>
      <c r="AP54" s="48"/>
      <c r="AQ54" s="48"/>
      <c r="AR54" s="48"/>
      <c r="AS54" s="48"/>
      <c r="AT54" s="48"/>
      <c r="AU54" s="48"/>
      <c r="AV54" s="48"/>
      <c r="AZ54" s="48"/>
      <c r="BA54" s="48"/>
      <c r="BB54" s="48"/>
      <c r="BC54" s="48"/>
    </row>
    <row r="55" spans="2:55">
      <c r="B55" s="95"/>
      <c r="C55" s="1377"/>
      <c r="D55" s="1377"/>
      <c r="E55" s="1377"/>
      <c r="F55" s="1377"/>
      <c r="G55" s="1377"/>
      <c r="H55" s="1377"/>
      <c r="I55" s="1377"/>
      <c r="J55" s="1377"/>
      <c r="K55" s="1377"/>
      <c r="L55" s="1377"/>
      <c r="M55" s="1377"/>
      <c r="N55" s="1377"/>
      <c r="O55" s="1377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1377"/>
      <c r="AF55" s="1377"/>
      <c r="AG55" s="1377"/>
      <c r="AH55" s="1377"/>
      <c r="AI55" s="1377"/>
      <c r="AJ55" s="1377"/>
      <c r="AK55" s="1377"/>
      <c r="AL55" s="1377"/>
      <c r="AM55" s="1377"/>
      <c r="AO55" s="48"/>
      <c r="AP55" s="48"/>
      <c r="AQ55" s="48"/>
      <c r="AR55" s="48"/>
      <c r="AS55" s="48"/>
      <c r="AT55" s="48"/>
      <c r="AU55" s="48"/>
      <c r="AV55" s="48"/>
      <c r="AZ55" s="48"/>
      <c r="BA55" s="48"/>
      <c r="BB55" s="48"/>
      <c r="BC55" s="48"/>
    </row>
    <row r="56" spans="2:55">
      <c r="B56" s="36"/>
      <c r="C56" s="1377"/>
      <c r="D56" s="1377"/>
      <c r="E56" s="1377"/>
      <c r="F56" s="1377"/>
      <c r="G56" s="1377"/>
      <c r="H56" s="1377"/>
      <c r="I56" s="1377"/>
      <c r="J56" s="1377"/>
      <c r="K56" s="1377"/>
      <c r="L56" s="1377"/>
      <c r="M56" s="1377"/>
      <c r="N56" s="1377"/>
      <c r="O56" s="1377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1377"/>
      <c r="AF56" s="1377"/>
      <c r="AG56" s="1377"/>
      <c r="AH56" s="1377"/>
      <c r="AI56" s="1377"/>
      <c r="AJ56" s="1377"/>
      <c r="AK56" s="1377"/>
      <c r="AL56" s="1377"/>
      <c r="AM56" s="1377"/>
      <c r="AO56" s="48"/>
      <c r="AP56" s="48"/>
      <c r="AQ56" s="48"/>
      <c r="AR56" s="48"/>
      <c r="AS56" s="48"/>
      <c r="AT56" s="48"/>
      <c r="AU56" s="48"/>
      <c r="AV56" s="48"/>
      <c r="AZ56" s="48"/>
      <c r="BA56" s="48"/>
      <c r="BB56" s="48"/>
      <c r="BC56" s="48"/>
    </row>
    <row r="57" spans="2:55">
      <c r="B57" s="95"/>
      <c r="C57" s="1377"/>
      <c r="D57" s="1377"/>
      <c r="E57" s="1377"/>
      <c r="F57" s="1377"/>
      <c r="G57" s="1377"/>
      <c r="H57" s="1377"/>
      <c r="I57" s="1377"/>
      <c r="J57" s="1377"/>
      <c r="K57" s="1377"/>
      <c r="L57" s="1377"/>
      <c r="M57" s="1377"/>
      <c r="N57" s="1377"/>
      <c r="O57" s="1377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1377"/>
      <c r="AF57" s="1377"/>
      <c r="AG57" s="1377"/>
      <c r="AH57" s="1377"/>
      <c r="AI57" s="1377"/>
      <c r="AJ57" s="1377"/>
      <c r="AK57" s="1377"/>
      <c r="AL57" s="1377"/>
      <c r="AM57" s="1377"/>
      <c r="AO57" s="48"/>
      <c r="AP57" s="48"/>
      <c r="AQ57" s="48"/>
      <c r="AR57" s="48"/>
      <c r="AS57" s="48"/>
      <c r="AT57" s="48"/>
      <c r="AU57" s="48"/>
      <c r="AV57" s="48"/>
      <c r="AZ57" s="48"/>
      <c r="BA57" s="48"/>
      <c r="BB57" s="48"/>
      <c r="BC57" s="48"/>
    </row>
    <row r="58" spans="2:55">
      <c r="B58" s="44"/>
      <c r="C58" s="1377"/>
      <c r="D58" s="1377"/>
      <c r="E58" s="1377"/>
      <c r="F58" s="1377"/>
      <c r="G58" s="1377"/>
      <c r="H58" s="1377"/>
      <c r="I58" s="1377"/>
      <c r="J58" s="1377"/>
      <c r="K58" s="1377"/>
      <c r="L58" s="1377"/>
      <c r="M58" s="1377"/>
      <c r="N58" s="1377"/>
      <c r="O58" s="1377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1377"/>
      <c r="AF58" s="1377"/>
      <c r="AG58" s="1377"/>
      <c r="AH58" s="1377"/>
      <c r="AI58" s="1377"/>
      <c r="AJ58" s="1377"/>
      <c r="AK58" s="1377"/>
      <c r="AL58" s="1377"/>
      <c r="AM58" s="1377"/>
      <c r="AO58" s="48"/>
      <c r="AP58" s="48"/>
      <c r="AQ58" s="48"/>
      <c r="AR58" s="48"/>
      <c r="AS58" s="48"/>
      <c r="AT58" s="48"/>
      <c r="AU58" s="48"/>
      <c r="AV58" s="48"/>
      <c r="AZ58" s="48"/>
      <c r="BA58" s="48"/>
      <c r="BB58" s="48"/>
      <c r="BC58" s="48"/>
    </row>
    <row r="59" spans="2:55">
      <c r="B59" s="47"/>
      <c r="C59" s="1377"/>
      <c r="D59" s="1377"/>
      <c r="E59" s="1377"/>
      <c r="F59" s="1377"/>
      <c r="G59" s="1377"/>
      <c r="H59" s="1377"/>
      <c r="I59" s="1377"/>
      <c r="J59" s="1377"/>
      <c r="K59" s="1377"/>
      <c r="L59" s="1377"/>
      <c r="M59" s="1377"/>
      <c r="N59" s="1377"/>
      <c r="O59" s="1377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1377"/>
      <c r="AF59" s="1377"/>
      <c r="AG59" s="1377"/>
      <c r="AH59" s="1377"/>
      <c r="AI59" s="1377"/>
      <c r="AJ59" s="1377"/>
      <c r="AK59" s="1377"/>
      <c r="AL59" s="1377"/>
      <c r="AM59" s="1377"/>
      <c r="AO59" s="48"/>
      <c r="AP59" s="48"/>
      <c r="AQ59" s="48"/>
      <c r="AR59" s="48"/>
      <c r="AS59" s="48"/>
      <c r="AT59" s="48"/>
      <c r="AU59" s="48"/>
      <c r="AV59" s="48"/>
      <c r="AZ59" s="48"/>
      <c r="BA59" s="48"/>
      <c r="BB59" s="48"/>
      <c r="BC59" s="48"/>
    </row>
    <row r="60" spans="2:55">
      <c r="B60" s="95"/>
      <c r="C60" s="1377"/>
      <c r="D60" s="1377"/>
      <c r="E60" s="1377"/>
      <c r="F60" s="1377"/>
      <c r="G60" s="1377"/>
      <c r="H60" s="1377"/>
      <c r="I60" s="1377"/>
      <c r="J60" s="1377"/>
      <c r="K60" s="1377"/>
      <c r="L60" s="1377"/>
      <c r="M60" s="1377"/>
      <c r="N60" s="1377"/>
      <c r="O60" s="1377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1377"/>
      <c r="AF60" s="1377"/>
      <c r="AG60" s="1377"/>
      <c r="AH60" s="1377"/>
      <c r="AI60" s="1377"/>
      <c r="AJ60" s="1377"/>
      <c r="AK60" s="1377"/>
      <c r="AL60" s="1379"/>
      <c r="AM60" s="1379"/>
      <c r="AO60" s="48"/>
      <c r="AP60" s="48"/>
      <c r="AQ60" s="48"/>
      <c r="AR60" s="48"/>
      <c r="AS60" s="48"/>
      <c r="AT60" s="48"/>
      <c r="AU60" s="48"/>
      <c r="AV60" s="48"/>
      <c r="AZ60" s="48"/>
      <c r="BA60" s="48"/>
      <c r="BB60" s="48"/>
      <c r="BC60" s="48"/>
    </row>
    <row r="61" spans="2:55">
      <c r="B61" s="44"/>
      <c r="C61" s="1377"/>
      <c r="D61" s="1377"/>
      <c r="E61" s="1377"/>
      <c r="F61" s="1377"/>
      <c r="G61" s="1377"/>
      <c r="H61" s="1377"/>
      <c r="I61" s="1377"/>
      <c r="J61" s="1377"/>
      <c r="K61" s="1377"/>
      <c r="L61" s="1377"/>
      <c r="M61" s="1377"/>
      <c r="N61" s="1377"/>
      <c r="O61" s="1377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1377"/>
      <c r="AF61" s="1377"/>
      <c r="AG61" s="1377"/>
      <c r="AH61" s="1377"/>
      <c r="AI61" s="1377"/>
      <c r="AJ61" s="1377"/>
      <c r="AK61" s="1377"/>
      <c r="AL61" s="1377"/>
      <c r="AM61" s="1377"/>
      <c r="AO61" s="48"/>
      <c r="AP61" s="48"/>
      <c r="AQ61" s="48"/>
      <c r="AR61" s="48"/>
      <c r="AS61" s="48"/>
      <c r="AT61" s="48"/>
      <c r="AU61" s="48"/>
      <c r="AV61" s="48"/>
      <c r="AZ61" s="48"/>
      <c r="BA61" s="48"/>
      <c r="BB61" s="48"/>
      <c r="BC61" s="48"/>
    </row>
    <row r="62" spans="2:55">
      <c r="B62" s="47"/>
      <c r="C62" s="1377"/>
      <c r="D62" s="1377"/>
      <c r="E62" s="1377"/>
      <c r="F62" s="1377"/>
      <c r="G62" s="1377"/>
      <c r="H62" s="1377"/>
      <c r="I62" s="1377"/>
      <c r="J62" s="1377"/>
      <c r="K62" s="1377"/>
      <c r="L62" s="1377"/>
      <c r="M62" s="1377"/>
      <c r="N62" s="1377"/>
      <c r="O62" s="1377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1377"/>
      <c r="AF62" s="1377"/>
      <c r="AG62" s="1377"/>
      <c r="AH62" s="1377"/>
      <c r="AI62" s="1377"/>
      <c r="AJ62" s="1377"/>
      <c r="AK62" s="1377"/>
      <c r="AL62" s="1377"/>
      <c r="AM62" s="1377"/>
      <c r="AO62" s="48"/>
      <c r="AP62" s="48"/>
      <c r="AQ62" s="48"/>
      <c r="AR62" s="48"/>
      <c r="AS62" s="48"/>
      <c r="AT62" s="48"/>
      <c r="AU62" s="48"/>
      <c r="AV62" s="48"/>
      <c r="AZ62" s="48"/>
      <c r="BA62" s="48"/>
      <c r="BB62" s="48"/>
      <c r="BC62" s="48"/>
    </row>
    <row r="63" spans="2:55">
      <c r="B63" s="95"/>
      <c r="C63" s="1377"/>
      <c r="D63" s="1377"/>
      <c r="E63" s="1377"/>
      <c r="F63" s="1377"/>
      <c r="G63" s="1377"/>
      <c r="H63" s="1377"/>
      <c r="I63" s="1377"/>
      <c r="J63" s="1377"/>
      <c r="K63" s="1377"/>
      <c r="L63" s="1377"/>
      <c r="M63" s="1377"/>
      <c r="N63" s="1377"/>
      <c r="O63" s="1377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1377"/>
      <c r="AF63" s="1377"/>
      <c r="AG63" s="1377"/>
      <c r="AH63" s="1377"/>
      <c r="AI63" s="1377"/>
      <c r="AJ63" s="1377"/>
      <c r="AK63" s="1377"/>
      <c r="AL63" s="1377"/>
      <c r="AM63" s="1377"/>
      <c r="AO63" s="48"/>
      <c r="AP63" s="48"/>
      <c r="AQ63" s="48"/>
      <c r="AR63" s="48"/>
      <c r="AS63" s="48"/>
      <c r="AT63" s="48"/>
      <c r="AU63" s="48"/>
      <c r="AV63" s="48"/>
      <c r="AZ63" s="48"/>
      <c r="BA63" s="48"/>
      <c r="BB63" s="48"/>
      <c r="BC63" s="48"/>
    </row>
    <row r="64" spans="2:55">
      <c r="B64" s="36"/>
      <c r="C64" s="1377"/>
      <c r="D64" s="1377"/>
      <c r="E64" s="1377"/>
      <c r="F64" s="1377"/>
      <c r="G64" s="1377"/>
      <c r="H64" s="1377"/>
      <c r="I64" s="1377"/>
      <c r="J64" s="1377"/>
      <c r="K64" s="1377"/>
      <c r="L64" s="1377"/>
      <c r="M64" s="1377"/>
      <c r="N64" s="1377"/>
      <c r="O64" s="1377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1377"/>
      <c r="AF64" s="1377"/>
      <c r="AG64" s="1377"/>
      <c r="AH64" s="1377"/>
      <c r="AI64" s="1377"/>
      <c r="AJ64" s="1377"/>
      <c r="AK64" s="1377"/>
      <c r="AL64" s="1377"/>
      <c r="AM64" s="1377"/>
      <c r="AO64" s="48"/>
      <c r="AP64" s="48"/>
      <c r="AQ64" s="48"/>
      <c r="AR64" s="48"/>
      <c r="AS64" s="48"/>
      <c r="AT64" s="48"/>
      <c r="AU64" s="48"/>
      <c r="AV64" s="48"/>
      <c r="AZ64" s="48"/>
      <c r="BA64" s="48"/>
      <c r="BB64" s="48"/>
      <c r="BC64" s="48"/>
    </row>
    <row r="65" spans="2:39">
      <c r="B65" s="44"/>
      <c r="C65" s="1377"/>
      <c r="D65" s="1377"/>
      <c r="E65" s="1377"/>
      <c r="F65" s="1377"/>
      <c r="G65" s="1377"/>
      <c r="H65" s="1377"/>
      <c r="I65" s="1377"/>
      <c r="J65" s="1377"/>
      <c r="K65" s="1377"/>
      <c r="L65" s="1377"/>
      <c r="M65" s="1377"/>
      <c r="N65" s="1377"/>
      <c r="O65" s="1377"/>
      <c r="P65" s="1377"/>
      <c r="Q65" s="1377"/>
      <c r="R65" s="1377"/>
      <c r="S65" s="1377"/>
      <c r="T65" s="1377"/>
      <c r="U65" s="1377"/>
      <c r="V65" s="1377"/>
      <c r="W65" s="1377"/>
      <c r="X65" s="1377"/>
      <c r="Y65" s="1377"/>
      <c r="Z65" s="1377"/>
      <c r="AA65" s="1377"/>
      <c r="AB65" s="1377"/>
      <c r="AC65" s="1377"/>
      <c r="AD65" s="1377"/>
      <c r="AE65" s="1377"/>
      <c r="AF65" s="1377"/>
      <c r="AG65" s="1377"/>
      <c r="AH65" s="1377"/>
      <c r="AI65" s="1377"/>
      <c r="AJ65" s="1377"/>
      <c r="AK65" s="1377"/>
      <c r="AL65" s="1377"/>
      <c r="AM65" s="1377"/>
    </row>
  </sheetData>
  <phoneticPr fontId="164" type="noConversion"/>
  <hyperlinks>
    <hyperlink ref="B4" location="'Cover list'!A1" display="&gt;&gt;  Content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1"/>
  <dimension ref="B1:AE74"/>
  <sheetViews>
    <sheetView showGridLines="0" zoomScale="90" zoomScaleNormal="90" workbookViewId="0">
      <pane xSplit="2" ySplit="6" topLeftCell="U7" activePane="bottomRight" state="frozen"/>
      <selection activeCell="N28" sqref="N28"/>
      <selection pane="topRight" activeCell="N28" sqref="N28"/>
      <selection pane="bottomLeft" activeCell="N28" sqref="N28"/>
      <selection pane="bottomRight"/>
    </sheetView>
  </sheetViews>
  <sheetFormatPr defaultColWidth="9" defaultRowHeight="12.75" outlineLevelRow="1" outlineLevelCol="1"/>
  <cols>
    <col min="1" max="1" width="1.375" style="4" customWidth="1"/>
    <col min="2" max="2" width="47.125" style="4" customWidth="1"/>
    <col min="3" max="8" width="10.75" style="4" hidden="1" customWidth="1" outlineLevel="1"/>
    <col min="9" max="9" width="11.125" style="4" hidden="1" customWidth="1" outlineLevel="1"/>
    <col min="10" max="10" width="10.75" style="4" hidden="1" customWidth="1" outlineLevel="1"/>
    <col min="11" max="11" width="9.875" style="4" hidden="1" customWidth="1" outlineLevel="1"/>
    <col min="12" max="13" width="10.75" style="4" hidden="1" customWidth="1" outlineLevel="1"/>
    <col min="14" max="14" width="12.25" style="4" hidden="1" customWidth="1" outlineLevel="1"/>
    <col min="15" max="15" width="10.75" style="4" hidden="1" customWidth="1" outlineLevel="1"/>
    <col min="16" max="16" width="10.375" style="4" hidden="1" customWidth="1" outlineLevel="1"/>
    <col min="17" max="17" width="10.75" style="4" hidden="1" customWidth="1" outlineLevel="1"/>
    <col min="18" max="18" width="10.75" style="4" hidden="1" customWidth="1" outlineLevel="1" collapsed="1"/>
    <col min="19" max="19" width="10.5" style="4" hidden="1" customWidth="1" outlineLevel="1"/>
    <col min="20" max="20" width="10.75" style="4" hidden="1" customWidth="1" outlineLevel="1"/>
    <col min="21" max="21" width="9.875" style="4" customWidth="1" collapsed="1"/>
    <col min="22" max="22" width="10.5" style="4" customWidth="1"/>
    <col min="23" max="25" width="10.625" style="4" customWidth="1"/>
    <col min="26" max="27" width="10.5" style="4" customWidth="1"/>
    <col min="28" max="28" width="9" style="4"/>
    <col min="29" max="29" width="10" style="4" customWidth="1"/>
    <col min="30" max="30" width="11.25" style="4" customWidth="1"/>
    <col min="31" max="31" width="11.5" style="4" customWidth="1"/>
    <col min="32" max="16384" width="9" style="4"/>
  </cols>
  <sheetData>
    <row r="1" spans="2:27" ht="15.75" customHeight="1"/>
    <row r="2" spans="2:27" ht="18.75">
      <c r="B2" s="1370" t="s">
        <v>190</v>
      </c>
      <c r="C2" s="65"/>
    </row>
    <row r="3" spans="2:27" ht="22.5" customHeight="1">
      <c r="B3" s="25" t="s">
        <v>220</v>
      </c>
      <c r="C3" s="25"/>
      <c r="K3" s="29"/>
      <c r="U3" s="29"/>
    </row>
    <row r="4" spans="2:27">
      <c r="B4" s="53" t="s">
        <v>41</v>
      </c>
      <c r="C4" s="27"/>
      <c r="D4" s="2"/>
      <c r="E4" s="79"/>
      <c r="F4" s="79"/>
      <c r="G4" s="79"/>
      <c r="H4" s="79"/>
      <c r="I4" s="79" t="s">
        <v>1131</v>
      </c>
      <c r="J4" s="79"/>
      <c r="K4" s="29"/>
      <c r="L4" s="79"/>
      <c r="M4" s="79"/>
      <c r="N4" s="1355"/>
      <c r="O4" s="79"/>
      <c r="Q4" s="79"/>
      <c r="R4" s="79"/>
      <c r="S4" s="79" t="s">
        <v>1131</v>
      </c>
      <c r="T4" s="79"/>
      <c r="U4" s="79"/>
      <c r="V4" s="79" t="s">
        <v>1131</v>
      </c>
    </row>
    <row r="5" spans="2:27" s="43" customFormat="1">
      <c r="B5" s="1352"/>
      <c r="C5" s="79" t="s">
        <v>174</v>
      </c>
      <c r="D5" s="79" t="s">
        <v>174</v>
      </c>
      <c r="E5" s="79" t="s">
        <v>174</v>
      </c>
      <c r="F5" s="79" t="s">
        <v>174</v>
      </c>
      <c r="G5" s="79" t="s">
        <v>174</v>
      </c>
      <c r="H5" s="79" t="s">
        <v>174</v>
      </c>
      <c r="I5" s="79" t="s">
        <v>174</v>
      </c>
      <c r="J5" s="79" t="s">
        <v>174</v>
      </c>
      <c r="K5" s="79" t="s">
        <v>174</v>
      </c>
      <c r="L5" s="79" t="s">
        <v>174</v>
      </c>
      <c r="M5" s="79" t="s">
        <v>174</v>
      </c>
      <c r="O5" s="79" t="s">
        <v>183</v>
      </c>
      <c r="P5" s="79" t="s">
        <v>183</v>
      </c>
      <c r="Q5" s="79" t="s">
        <v>183</v>
      </c>
      <c r="R5" s="79" t="s">
        <v>183</v>
      </c>
      <c r="S5" s="79" t="s">
        <v>183</v>
      </c>
      <c r="T5" s="79" t="s">
        <v>183</v>
      </c>
      <c r="U5" s="79" t="s">
        <v>183</v>
      </c>
      <c r="V5" s="79" t="s">
        <v>183</v>
      </c>
      <c r="W5" s="79" t="s">
        <v>183</v>
      </c>
      <c r="X5" s="79" t="s">
        <v>183</v>
      </c>
      <c r="Y5" s="79" t="s">
        <v>183</v>
      </c>
      <c r="Z5" s="79" t="s">
        <v>183</v>
      </c>
      <c r="AA5" s="79" t="s">
        <v>183</v>
      </c>
    </row>
    <row r="6" spans="2:27">
      <c r="B6" s="1349"/>
      <c r="C6" s="1350" t="s">
        <v>163</v>
      </c>
      <c r="D6" s="1350" t="s">
        <v>164</v>
      </c>
      <c r="E6" s="1350" t="s">
        <v>165</v>
      </c>
      <c r="F6" s="1350" t="s">
        <v>166</v>
      </c>
      <c r="G6" s="1350" t="s">
        <v>182</v>
      </c>
      <c r="H6" s="1350" t="s">
        <v>1130</v>
      </c>
      <c r="I6" s="1350" t="s">
        <v>1135</v>
      </c>
      <c r="J6" s="1350" t="s">
        <v>1139</v>
      </c>
      <c r="K6" s="1350" t="s">
        <v>1143</v>
      </c>
      <c r="L6" s="1350" t="s">
        <v>1162</v>
      </c>
      <c r="M6" s="1350" t="s">
        <v>1183</v>
      </c>
      <c r="N6" s="32"/>
      <c r="O6" s="1350" t="s">
        <v>165</v>
      </c>
      <c r="P6" s="1350" t="s">
        <v>166</v>
      </c>
      <c r="Q6" s="1350" t="s">
        <v>182</v>
      </c>
      <c r="R6" s="1350" t="s">
        <v>1130</v>
      </c>
      <c r="S6" s="1350" t="s">
        <v>1135</v>
      </c>
      <c r="T6" s="1350" t="s">
        <v>1139</v>
      </c>
      <c r="U6" s="1350" t="s">
        <v>1143</v>
      </c>
      <c r="V6" s="1350" t="s">
        <v>1162</v>
      </c>
      <c r="W6" s="1350" t="s">
        <v>1183</v>
      </c>
      <c r="X6" s="1350" t="s">
        <v>1188</v>
      </c>
      <c r="Y6" s="1350" t="s">
        <v>1202</v>
      </c>
      <c r="Z6" s="1350" t="s">
        <v>1195</v>
      </c>
      <c r="AA6" s="1350" t="s">
        <v>1228</v>
      </c>
    </row>
    <row r="7" spans="2:27">
      <c r="B7" s="33" t="s">
        <v>30</v>
      </c>
      <c r="C7" s="33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2:27">
      <c r="B8" s="66" t="s">
        <v>99</v>
      </c>
      <c r="C8" s="34">
        <v>26061888</v>
      </c>
      <c r="D8" s="34">
        <v>45423770</v>
      </c>
      <c r="E8" s="34">
        <v>22359403.941831406</v>
      </c>
      <c r="F8" s="34">
        <v>42698769.223070547</v>
      </c>
      <c r="G8" s="34">
        <v>12971742.134468621</v>
      </c>
      <c r="H8" s="34">
        <v>22009722.15980196</v>
      </c>
      <c r="I8" s="34">
        <f>22038916+4</f>
        <v>22038920</v>
      </c>
      <c r="J8" s="34">
        <v>48686030</v>
      </c>
      <c r="K8" s="34">
        <v>29768171</v>
      </c>
      <c r="L8" s="34">
        <v>67080967</v>
      </c>
      <c r="M8" s="34">
        <v>40873736</v>
      </c>
      <c r="N8" s="37"/>
      <c r="O8" s="34">
        <v>18179670.941831406</v>
      </c>
      <c r="P8" s="34">
        <v>30954175.122935776</v>
      </c>
      <c r="Q8" s="34">
        <v>5707094.1344686197</v>
      </c>
      <c r="R8" s="34">
        <v>12579472</v>
      </c>
      <c r="S8" s="34">
        <v>18858478.286959998</v>
      </c>
      <c r="T8" s="34">
        <v>42702515</v>
      </c>
      <c r="U8" s="34">
        <v>28959411</v>
      </c>
      <c r="V8" s="34">
        <f>62599719+15365</f>
        <v>62615084</v>
      </c>
      <c r="W8" s="34">
        <v>37508159</v>
      </c>
      <c r="X8" s="34">
        <v>42864550</v>
      </c>
      <c r="Y8" s="34">
        <v>42971919</v>
      </c>
      <c r="Z8" s="34">
        <v>82735798</v>
      </c>
      <c r="AA8" s="34">
        <v>24028447</v>
      </c>
    </row>
    <row r="9" spans="2:27" hidden="1" outlineLevel="1">
      <c r="B9" s="66" t="s">
        <v>24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>
        <v>0</v>
      </c>
      <c r="S9" s="37"/>
      <c r="T9" s="37">
        <v>0</v>
      </c>
      <c r="U9" s="37"/>
      <c r="V9" s="37"/>
      <c r="W9" s="37"/>
      <c r="X9" s="37"/>
      <c r="Y9" s="37"/>
      <c r="Z9" s="37">
        <v>0</v>
      </c>
      <c r="AA9" s="37"/>
    </row>
    <row r="10" spans="2:27" ht="25.5" hidden="1" outlineLevel="1">
      <c r="B10" s="36" t="s">
        <v>1240</v>
      </c>
      <c r="C10" s="37">
        <v>16113559</v>
      </c>
      <c r="D10" s="37">
        <v>32947360</v>
      </c>
      <c r="E10" s="37">
        <v>16985754</v>
      </c>
      <c r="F10" s="37">
        <v>35521322</v>
      </c>
      <c r="G10" s="37">
        <v>22793015</v>
      </c>
      <c r="H10" s="37">
        <v>45590176</v>
      </c>
      <c r="I10" s="37">
        <f>23083231-I11</f>
        <v>22366252</v>
      </c>
      <c r="J10" s="37">
        <v>43948369</v>
      </c>
      <c r="K10" s="37">
        <v>21720810</v>
      </c>
      <c r="L10" s="37">
        <v>48672497</v>
      </c>
      <c r="M10" s="37">
        <v>26623767.776209526</v>
      </c>
      <c r="N10" s="37"/>
      <c r="O10" s="37">
        <v>34490586</v>
      </c>
      <c r="P10" s="37">
        <v>72354587.025712922</v>
      </c>
      <c r="Q10" s="37">
        <v>45000676</v>
      </c>
      <c r="R10" s="37">
        <v>87117847</v>
      </c>
      <c r="S10" s="37">
        <v>44355469</v>
      </c>
      <c r="T10" s="37">
        <v>88061585</v>
      </c>
      <c r="U10" s="37">
        <v>44186497</v>
      </c>
      <c r="V10" s="37">
        <v>101939813</v>
      </c>
      <c r="W10" s="37">
        <v>59459373</v>
      </c>
      <c r="X10" s="37">
        <v>123949329</v>
      </c>
      <c r="Y10" s="37">
        <v>62474416</v>
      </c>
      <c r="Z10" s="37">
        <v>129166216</v>
      </c>
      <c r="AA10" s="37">
        <v>65855440</v>
      </c>
    </row>
    <row r="11" spans="2:27" hidden="1" outlineLevel="1">
      <c r="B11" s="36" t="s">
        <v>1241</v>
      </c>
      <c r="C11" s="37">
        <v>334059</v>
      </c>
      <c r="D11" s="37">
        <v>768342</v>
      </c>
      <c r="E11" s="37">
        <v>451703</v>
      </c>
      <c r="F11" s="37">
        <v>996116</v>
      </c>
      <c r="G11" s="37">
        <v>476721</v>
      </c>
      <c r="H11" s="37">
        <v>1197768</v>
      </c>
      <c r="I11" s="37">
        <v>716979</v>
      </c>
      <c r="J11" s="37">
        <v>1968724</v>
      </c>
      <c r="K11" s="37">
        <v>1512952</v>
      </c>
      <c r="L11" s="37">
        <v>4020714</v>
      </c>
      <c r="M11" s="37">
        <v>3154039</v>
      </c>
      <c r="N11" s="37"/>
      <c r="O11" s="37">
        <v>383310</v>
      </c>
      <c r="P11" s="37">
        <v>798926</v>
      </c>
      <c r="Q11" s="37">
        <v>476721</v>
      </c>
      <c r="R11" s="37">
        <v>976589</v>
      </c>
      <c r="S11" s="37">
        <v>716979</v>
      </c>
      <c r="T11" s="37">
        <v>1703793</v>
      </c>
      <c r="U11" s="37">
        <v>1069843</v>
      </c>
      <c r="V11" s="37">
        <v>3387190</v>
      </c>
      <c r="W11" s="37">
        <v>2866062</v>
      </c>
      <c r="X11" s="37">
        <v>9876123</v>
      </c>
      <c r="Y11" s="37">
        <v>2853731</v>
      </c>
      <c r="Z11" s="37">
        <v>4931286</v>
      </c>
      <c r="AA11" s="37">
        <v>2819695</v>
      </c>
    </row>
    <row r="12" spans="2:27" hidden="1" outlineLevel="1">
      <c r="B12" s="36" t="s">
        <v>1189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>
        <v>25511824</v>
      </c>
      <c r="Y12" s="37"/>
      <c r="Z12" s="37">
        <v>0</v>
      </c>
      <c r="AA12" s="37"/>
    </row>
    <row r="13" spans="2:27" s="46" customFormat="1" hidden="1" outlineLevel="1">
      <c r="B13" s="36" t="s">
        <v>78</v>
      </c>
      <c r="C13" s="37">
        <v>394689</v>
      </c>
      <c r="D13" s="37">
        <v>464016</v>
      </c>
      <c r="E13" s="37">
        <v>224707</v>
      </c>
      <c r="F13" s="37">
        <v>549026</v>
      </c>
      <c r="G13" s="37">
        <v>367785</v>
      </c>
      <c r="H13" s="37">
        <v>262256.20607683947</v>
      </c>
      <c r="I13" s="37">
        <v>-250383</v>
      </c>
      <c r="J13" s="37">
        <v>-1166153.0890208241</v>
      </c>
      <c r="K13" s="37">
        <v>93638.601979078347</v>
      </c>
      <c r="L13" s="37">
        <v>470915.87960566231</v>
      </c>
      <c r="M13" s="37">
        <v>337875.08176568692</v>
      </c>
      <c r="N13" s="37"/>
      <c r="O13" s="37">
        <v>176065</v>
      </c>
      <c r="P13" s="37">
        <v>549026</v>
      </c>
      <c r="Q13" s="37">
        <v>424621</v>
      </c>
      <c r="R13" s="37">
        <v>358190</v>
      </c>
      <c r="S13" s="37">
        <v>-250383</v>
      </c>
      <c r="T13" s="37">
        <v>-1165190</v>
      </c>
      <c r="U13" s="37">
        <v>93639</v>
      </c>
      <c r="V13" s="37">
        <v>494079</v>
      </c>
      <c r="W13" s="37">
        <v>337875</v>
      </c>
      <c r="X13" s="37">
        <v>1491570</v>
      </c>
      <c r="Y13" s="37">
        <v>86147</v>
      </c>
      <c r="Z13" s="37">
        <v>201525</v>
      </c>
      <c r="AA13" s="37">
        <v>256328</v>
      </c>
    </row>
    <row r="14" spans="2:27" s="46" customFormat="1" hidden="1" outlineLevel="1">
      <c r="B14" s="36" t="s">
        <v>1100</v>
      </c>
      <c r="C14" s="37"/>
      <c r="D14" s="37"/>
      <c r="E14" s="37">
        <v>11533</v>
      </c>
      <c r="F14" s="37">
        <v>27278</v>
      </c>
      <c r="G14" s="37">
        <v>7945</v>
      </c>
      <c r="H14" s="37">
        <v>23165.045387409627</v>
      </c>
      <c r="I14" s="37">
        <v>37750</v>
      </c>
      <c r="J14" s="37">
        <v>45064.817949839351</v>
      </c>
      <c r="K14" s="37">
        <v>1309.3425919499398</v>
      </c>
      <c r="L14" s="37">
        <v>4035</v>
      </c>
      <c r="M14" s="37">
        <v>3576726.3272841335</v>
      </c>
      <c r="N14" s="37"/>
      <c r="O14" s="37">
        <v>9105</v>
      </c>
      <c r="P14" s="37">
        <v>10754</v>
      </c>
      <c r="Q14" s="37">
        <v>7945</v>
      </c>
      <c r="R14" s="37">
        <v>23164</v>
      </c>
      <c r="S14" s="37">
        <v>37750</v>
      </c>
      <c r="T14" s="37">
        <v>45065</v>
      </c>
      <c r="U14" s="37">
        <v>1309</v>
      </c>
      <c r="V14" s="37">
        <v>4035</v>
      </c>
      <c r="W14" s="37">
        <v>3576726</v>
      </c>
      <c r="X14" s="37">
        <v>3564242</v>
      </c>
      <c r="Y14" s="37">
        <v>68620</v>
      </c>
      <c r="Z14" s="37">
        <v>97851</v>
      </c>
      <c r="AA14" s="37">
        <v>6043</v>
      </c>
    </row>
    <row r="15" spans="2:27" s="46" customFormat="1" hidden="1" outlineLevel="1">
      <c r="B15" s="36" t="s">
        <v>1101</v>
      </c>
      <c r="C15" s="37"/>
      <c r="D15" s="37">
        <v>24697</v>
      </c>
      <c r="E15" s="37">
        <v>25789</v>
      </c>
      <c r="F15" s="37">
        <v>25789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>
        <v>0</v>
      </c>
      <c r="S15" s="37"/>
      <c r="T15" s="37">
        <v>0</v>
      </c>
      <c r="U15" s="37"/>
      <c r="V15" s="37"/>
      <c r="W15" s="37"/>
      <c r="X15" s="37"/>
      <c r="Y15" s="37"/>
      <c r="Z15" s="37">
        <v>0</v>
      </c>
      <c r="AA15" s="37"/>
    </row>
    <row r="16" spans="2:27" s="46" customFormat="1" hidden="1" outlineLevel="1">
      <c r="B16" s="36" t="s">
        <v>1102</v>
      </c>
      <c r="C16" s="37"/>
      <c r="D16" s="37"/>
      <c r="E16" s="37">
        <v>-1180</v>
      </c>
      <c r="F16" s="37">
        <v>-1180</v>
      </c>
      <c r="G16" s="37"/>
      <c r="H16" s="37"/>
      <c r="I16" s="37"/>
      <c r="J16" s="37"/>
      <c r="K16" s="37"/>
      <c r="L16" s="37"/>
      <c r="M16" s="37"/>
      <c r="N16" s="37"/>
      <c r="O16" s="37">
        <v>-1180</v>
      </c>
      <c r="P16" s="37">
        <v>-1180</v>
      </c>
      <c r="Q16" s="37"/>
      <c r="R16" s="37">
        <v>0</v>
      </c>
      <c r="S16" s="37"/>
      <c r="T16" s="37">
        <v>0</v>
      </c>
      <c r="U16" s="37"/>
      <c r="V16" s="37"/>
      <c r="W16" s="37"/>
      <c r="X16" s="37"/>
      <c r="Y16" s="37"/>
      <c r="Z16" s="37">
        <v>0</v>
      </c>
      <c r="AA16" s="37"/>
    </row>
    <row r="17" spans="2:31" s="46" customFormat="1" hidden="1" outlineLevel="1">
      <c r="B17" s="36" t="s">
        <v>1132</v>
      </c>
      <c r="C17" s="37"/>
      <c r="D17" s="37"/>
      <c r="E17" s="37"/>
      <c r="F17" s="37"/>
      <c r="G17" s="37"/>
      <c r="H17" s="37">
        <v>-47511</v>
      </c>
      <c r="I17" s="37"/>
      <c r="J17" s="37"/>
      <c r="K17" s="37"/>
      <c r="L17" s="37"/>
      <c r="M17" s="37"/>
      <c r="N17" s="37"/>
      <c r="O17" s="37"/>
      <c r="P17" s="37"/>
      <c r="Q17" s="37"/>
      <c r="R17" s="37">
        <v>-47511</v>
      </c>
      <c r="S17" s="37"/>
      <c r="T17" s="37">
        <v>0</v>
      </c>
      <c r="U17" s="37"/>
      <c r="V17" s="37"/>
      <c r="W17" s="37"/>
      <c r="X17" s="37"/>
      <c r="Y17" s="37"/>
      <c r="Z17" s="37">
        <v>0</v>
      </c>
      <c r="AA17" s="37"/>
    </row>
    <row r="18" spans="2:31" s="46" customFormat="1" hidden="1" outlineLevel="1">
      <c r="B18" s="36" t="s">
        <v>1186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>
        <v>-1615970</v>
      </c>
      <c r="N18" s="37"/>
      <c r="O18" s="37"/>
      <c r="P18" s="37"/>
      <c r="Q18" s="37"/>
      <c r="R18" s="37"/>
      <c r="S18" s="37"/>
      <c r="T18" s="37"/>
      <c r="U18" s="37"/>
      <c r="V18" s="37"/>
      <c r="W18" s="37">
        <v>-1615970</v>
      </c>
      <c r="X18" s="37">
        <v>-1606673</v>
      </c>
      <c r="Y18" s="37">
        <v>0</v>
      </c>
      <c r="Z18" s="37">
        <v>-598628</v>
      </c>
      <c r="AA18" s="37">
        <v>-25474</v>
      </c>
    </row>
    <row r="19" spans="2:31" hidden="1" outlineLevel="1">
      <c r="B19" s="36" t="s">
        <v>1103</v>
      </c>
      <c r="C19" s="37">
        <v>23031</v>
      </c>
      <c r="D19" s="37">
        <v>129225</v>
      </c>
      <c r="E19" s="37">
        <v>-123274</v>
      </c>
      <c r="F19" s="37">
        <v>-97118</v>
      </c>
      <c r="G19" s="37">
        <v>89946</v>
      </c>
      <c r="H19" s="37">
        <v>405773</v>
      </c>
      <c r="I19" s="37">
        <v>332948</v>
      </c>
      <c r="J19" s="37">
        <v>451920</v>
      </c>
      <c r="K19" s="37">
        <v>21605</v>
      </c>
      <c r="L19" s="37">
        <v>-103510</v>
      </c>
      <c r="M19" s="37">
        <v>216254.78595719984</v>
      </c>
      <c r="N19" s="37"/>
      <c r="O19" s="37">
        <v>-123275</v>
      </c>
      <c r="P19" s="37">
        <v>-97118</v>
      </c>
      <c r="Q19" s="37">
        <v>89946</v>
      </c>
      <c r="R19" s="37">
        <v>405773</v>
      </c>
      <c r="S19" s="37">
        <v>332948</v>
      </c>
      <c r="T19" s="37">
        <v>451920</v>
      </c>
      <c r="U19" s="37">
        <v>21605</v>
      </c>
      <c r="V19" s="37">
        <v>-103510</v>
      </c>
      <c r="W19" s="37">
        <v>216255</v>
      </c>
      <c r="X19" s="37">
        <v>2235693</v>
      </c>
      <c r="Y19" s="37">
        <v>5807</v>
      </c>
      <c r="Z19" s="37">
        <v>-1546036</v>
      </c>
      <c r="AA19" s="37">
        <v>-14166</v>
      </c>
    </row>
    <row r="20" spans="2:31" ht="25.5" hidden="1" outlineLevel="1">
      <c r="B20" s="36" t="s">
        <v>1242</v>
      </c>
      <c r="C20" s="37"/>
      <c r="D20" s="37"/>
      <c r="E20" s="37"/>
      <c r="F20" s="37"/>
      <c r="G20" s="37"/>
      <c r="H20" s="37"/>
      <c r="I20" s="37">
        <v>36685</v>
      </c>
      <c r="J20" s="37">
        <v>132207</v>
      </c>
      <c r="K20" s="37">
        <v>57731.354679999997</v>
      </c>
      <c r="L20" s="37">
        <v>132090.14417000001</v>
      </c>
      <c r="M20" s="37">
        <v>444063.74440859997</v>
      </c>
      <c r="N20" s="37"/>
      <c r="O20" s="37"/>
      <c r="P20" s="37"/>
      <c r="Q20" s="37"/>
      <c r="R20" s="37"/>
      <c r="S20" s="37">
        <v>36685</v>
      </c>
      <c r="T20" s="37">
        <v>132207</v>
      </c>
      <c r="U20" s="37">
        <v>57731</v>
      </c>
      <c r="V20" s="37">
        <v>132090</v>
      </c>
      <c r="W20" s="37">
        <v>444064</v>
      </c>
      <c r="X20" s="37">
        <v>391342</v>
      </c>
      <c r="Y20" s="37">
        <v>266394</v>
      </c>
      <c r="Z20" s="37">
        <v>354467</v>
      </c>
      <c r="AA20" s="37">
        <v>147106</v>
      </c>
    </row>
    <row r="21" spans="2:31" ht="25.5" hidden="1" outlineLevel="1">
      <c r="B21" s="36" t="s">
        <v>1243</v>
      </c>
      <c r="C21" s="37"/>
      <c r="D21" s="37"/>
      <c r="E21" s="37"/>
      <c r="F21" s="37"/>
      <c r="G21" s="37"/>
      <c r="H21" s="37"/>
      <c r="I21" s="37">
        <v>238105.08904000002</v>
      </c>
      <c r="J21" s="37">
        <v>247436</v>
      </c>
      <c r="K21" s="37">
        <v>0</v>
      </c>
      <c r="L21" s="37"/>
      <c r="M21" s="37"/>
      <c r="N21" s="37"/>
      <c r="O21" s="37"/>
      <c r="P21" s="37"/>
      <c r="Q21" s="37"/>
      <c r="R21" s="37">
        <v>0</v>
      </c>
      <c r="S21" s="37">
        <v>238105</v>
      </c>
      <c r="T21" s="37">
        <v>247436</v>
      </c>
      <c r="U21" s="37">
        <v>0</v>
      </c>
      <c r="V21" s="37">
        <v>0</v>
      </c>
      <c r="W21" s="37"/>
      <c r="X21" s="37">
        <v>10943</v>
      </c>
      <c r="Y21" s="37">
        <v>-6817</v>
      </c>
      <c r="Z21" s="37">
        <v>64520</v>
      </c>
      <c r="AA21" s="37">
        <v>11542</v>
      </c>
    </row>
    <row r="22" spans="2:31" ht="25.5" hidden="1" outlineLevel="1">
      <c r="B22" s="36" t="s">
        <v>1136</v>
      </c>
      <c r="C22" s="37"/>
      <c r="D22" s="37"/>
      <c r="E22" s="37"/>
      <c r="F22" s="37"/>
      <c r="G22" s="37">
        <v>160181</v>
      </c>
      <c r="H22" s="37">
        <v>358375</v>
      </c>
      <c r="I22" s="37">
        <v>270572.75927684503</v>
      </c>
      <c r="J22" s="37">
        <v>597351.19288861228</v>
      </c>
      <c r="K22" s="37">
        <v>471878</v>
      </c>
      <c r="L22" s="37">
        <v>2904291.7636015979</v>
      </c>
      <c r="M22" s="37">
        <v>4444208.3259627558</v>
      </c>
      <c r="N22" s="37"/>
      <c r="O22" s="37"/>
      <c r="P22" s="37"/>
      <c r="Q22" s="37">
        <v>160181</v>
      </c>
      <c r="R22" s="37">
        <v>358375</v>
      </c>
      <c r="S22" s="37">
        <v>270573</v>
      </c>
      <c r="T22" s="37">
        <v>597351</v>
      </c>
      <c r="U22" s="37">
        <v>471878</v>
      </c>
      <c r="V22" s="37">
        <v>2904292</v>
      </c>
      <c r="W22" s="37">
        <v>4444208</v>
      </c>
      <c r="X22" s="37">
        <v>6444414</v>
      </c>
      <c r="Y22" s="37">
        <v>3672408</v>
      </c>
      <c r="Z22" s="37">
        <v>5996261</v>
      </c>
      <c r="AA22" s="37">
        <v>2358928</v>
      </c>
    </row>
    <row r="23" spans="2:31" hidden="1" outlineLevel="1">
      <c r="B23" s="36" t="s">
        <v>133</v>
      </c>
      <c r="C23" s="37">
        <v>-54433</v>
      </c>
      <c r="D23" s="37">
        <v>-133680</v>
      </c>
      <c r="E23" s="37">
        <v>702738</v>
      </c>
      <c r="F23" s="37">
        <v>1415310</v>
      </c>
      <c r="G23" s="37">
        <v>-640754</v>
      </c>
      <c r="H23" s="37">
        <v>-780563</v>
      </c>
      <c r="I23" s="37">
        <v>824271</v>
      </c>
      <c r="J23" s="37">
        <v>1310091.4519699998</v>
      </c>
      <c r="K23" s="37">
        <v>-450909.22284896096</v>
      </c>
      <c r="L23" s="37">
        <v>-302391.27976101346</v>
      </c>
      <c r="M23" s="37">
        <v>2111415.1175586451</v>
      </c>
      <c r="N23" s="37"/>
      <c r="O23" s="37">
        <v>702738</v>
      </c>
      <c r="P23" s="37">
        <v>1523134.633061352</v>
      </c>
      <c r="Q23" s="37">
        <v>-640754</v>
      </c>
      <c r="R23" s="37">
        <v>-872834</v>
      </c>
      <c r="S23" s="37">
        <v>920071</v>
      </c>
      <c r="T23" s="37">
        <v>1453331</v>
      </c>
      <c r="U23" s="37">
        <v>-460978</v>
      </c>
      <c r="V23" s="37">
        <v>-280745</v>
      </c>
      <c r="W23" s="37">
        <v>1906419</v>
      </c>
      <c r="X23" s="37">
        <v>333276</v>
      </c>
      <c r="Y23" s="37">
        <v>-6136934</v>
      </c>
      <c r="Z23" s="37">
        <v>-8249073</v>
      </c>
      <c r="AA23" s="37">
        <v>4969633</v>
      </c>
      <c r="AC23" s="1544"/>
    </row>
    <row r="24" spans="2:31" hidden="1" outlineLevel="1">
      <c r="B24" s="36" t="s">
        <v>66</v>
      </c>
      <c r="C24" s="37">
        <v>6332376</v>
      </c>
      <c r="D24" s="37">
        <v>12978882</v>
      </c>
      <c r="E24" s="37">
        <v>4362661</v>
      </c>
      <c r="F24" s="37">
        <v>9136262</v>
      </c>
      <c r="G24" s="37">
        <v>7605629</v>
      </c>
      <c r="H24" s="37">
        <v>15367447</v>
      </c>
      <c r="I24" s="37">
        <v>7604426</v>
      </c>
      <c r="J24" s="37">
        <v>14001696.052203402</v>
      </c>
      <c r="K24" s="37">
        <v>6291989</v>
      </c>
      <c r="L24" s="37">
        <v>15512968</v>
      </c>
      <c r="M24" s="37">
        <v>11838242.730989998</v>
      </c>
      <c r="N24" s="37"/>
      <c r="O24" s="37">
        <v>18639856</v>
      </c>
      <c r="P24" s="37">
        <v>39541807.325880751</v>
      </c>
      <c r="Q24" s="37">
        <v>23714774</v>
      </c>
      <c r="R24" s="37">
        <v>47781649</v>
      </c>
      <c r="S24" s="37">
        <v>23324260</v>
      </c>
      <c r="T24" s="37">
        <v>44772274</v>
      </c>
      <c r="U24" s="37">
        <v>21522759</v>
      </c>
      <c r="V24" s="37">
        <v>49125469</v>
      </c>
      <c r="W24" s="37">
        <v>31945743</v>
      </c>
      <c r="X24" s="37">
        <v>68156279</v>
      </c>
      <c r="Y24" s="37">
        <v>41371266</v>
      </c>
      <c r="Z24" s="37">
        <v>85232484</v>
      </c>
      <c r="AA24" s="37">
        <v>46476957</v>
      </c>
    </row>
    <row r="25" spans="2:31" hidden="1" outlineLevel="1">
      <c r="B25" s="36" t="s">
        <v>65</v>
      </c>
      <c r="C25" s="37">
        <v>-51947</v>
      </c>
      <c r="D25" s="37">
        <v>-340714</v>
      </c>
      <c r="E25" s="37">
        <v>-98171</v>
      </c>
      <c r="F25" s="37">
        <v>-210316</v>
      </c>
      <c r="G25" s="37">
        <v>-163375</v>
      </c>
      <c r="H25" s="37">
        <v>-272595</v>
      </c>
      <c r="I25" s="37">
        <v>-330581</v>
      </c>
      <c r="J25" s="37">
        <v>-504475.92313000001</v>
      </c>
      <c r="K25" s="37">
        <v>-921279</v>
      </c>
      <c r="L25" s="37">
        <v>-2547456</v>
      </c>
      <c r="M25" s="37">
        <v>-5246651</v>
      </c>
      <c r="N25" s="37"/>
      <c r="O25" s="37">
        <v>-98171</v>
      </c>
      <c r="P25" s="37">
        <v>-210316</v>
      </c>
      <c r="Q25" s="37">
        <v>-163375</v>
      </c>
      <c r="R25" s="37">
        <v>-272595</v>
      </c>
      <c r="S25" s="37">
        <v>-330581</v>
      </c>
      <c r="T25" s="37">
        <v>-504476</v>
      </c>
      <c r="U25" s="37">
        <v>-921279</v>
      </c>
      <c r="V25" s="37">
        <v>-2547456</v>
      </c>
      <c r="W25" s="37">
        <v>-5246651</v>
      </c>
      <c r="X25" s="37">
        <v>-13337582</v>
      </c>
      <c r="Y25" s="37">
        <v>-11110233</v>
      </c>
      <c r="Z25" s="37">
        <v>-24202277</v>
      </c>
      <c r="AA25" s="37">
        <v>-9090750</v>
      </c>
    </row>
    <row r="26" spans="2:31" hidden="1" outlineLevel="1">
      <c r="B26" s="36" t="s">
        <v>47</v>
      </c>
      <c r="C26" s="37"/>
      <c r="D26" s="37"/>
      <c r="E26" s="37"/>
      <c r="F26" s="37"/>
      <c r="G26" s="37"/>
      <c r="H26" s="37"/>
      <c r="I26" s="37"/>
      <c r="J26" s="37"/>
      <c r="K26" s="37">
        <v>0</v>
      </c>
      <c r="L26" s="37"/>
      <c r="M26" s="37"/>
      <c r="N26" s="37"/>
      <c r="O26" s="37">
        <v>-887430</v>
      </c>
      <c r="P26" s="37">
        <v>-1804179.92035</v>
      </c>
      <c r="Q26" s="37">
        <v>-598714</v>
      </c>
      <c r="R26" s="37">
        <v>-1985180</v>
      </c>
      <c r="S26" s="37">
        <v>-930906</v>
      </c>
      <c r="T26" s="37">
        <v>-1687459</v>
      </c>
      <c r="U26" s="37">
        <v>-558462</v>
      </c>
      <c r="V26" s="37">
        <v>-1070698</v>
      </c>
      <c r="W26" s="37">
        <v>-981762</v>
      </c>
      <c r="X26" s="37">
        <v>-1081805</v>
      </c>
      <c r="Y26" s="37">
        <v>-233751</v>
      </c>
      <c r="Z26" s="37">
        <v>-708003</v>
      </c>
      <c r="AA26" s="37">
        <v>-362396</v>
      </c>
    </row>
    <row r="27" spans="2:31" hidden="1" outlineLevel="1">
      <c r="B27" s="36" t="s">
        <v>1245</v>
      </c>
      <c r="C27" s="37"/>
      <c r="D27" s="37"/>
      <c r="E27" s="37"/>
      <c r="F27" s="37"/>
      <c r="G27" s="37"/>
      <c r="H27" s="37">
        <v>-383086</v>
      </c>
      <c r="I27" s="37">
        <v>-311026</v>
      </c>
      <c r="J27" s="37">
        <v>-664256.50258281338</v>
      </c>
      <c r="K27" s="37">
        <v>-121793</v>
      </c>
      <c r="L27" s="37">
        <v>-242800.85472203087</v>
      </c>
      <c r="M27" s="37">
        <v>-122781.94656082921</v>
      </c>
      <c r="N27" s="37"/>
      <c r="O27" s="37"/>
      <c r="P27" s="37"/>
      <c r="Q27" s="37"/>
      <c r="R27" s="37">
        <v>-383086</v>
      </c>
      <c r="S27" s="37">
        <v>-311026</v>
      </c>
      <c r="T27" s="37">
        <v>-664257</v>
      </c>
      <c r="U27" s="37">
        <v>-121793</v>
      </c>
      <c r="V27" s="37">
        <v>-242801</v>
      </c>
      <c r="W27" s="37">
        <v>-122782</v>
      </c>
      <c r="X27" s="37">
        <v>-375712</v>
      </c>
      <c r="Y27" s="37">
        <v>-211795</v>
      </c>
      <c r="Z27" s="37">
        <v>-372741</v>
      </c>
      <c r="AA27" s="37">
        <v>-136204</v>
      </c>
    </row>
    <row r="28" spans="2:31" hidden="1" outlineLevel="1">
      <c r="B28" s="36" t="s">
        <v>1190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>
        <v>-491303</v>
      </c>
      <c r="Y28" s="37"/>
      <c r="Z28" s="37">
        <v>0</v>
      </c>
      <c r="AA28" s="37"/>
    </row>
    <row r="29" spans="2:31" hidden="1" outlineLevel="1">
      <c r="B29" s="36" t="s">
        <v>1104</v>
      </c>
      <c r="C29" s="37"/>
      <c r="D29" s="37"/>
      <c r="E29" s="37"/>
      <c r="F29" s="37"/>
      <c r="G29" s="37">
        <v>1391795</v>
      </c>
      <c r="H29" s="37">
        <v>2452342</v>
      </c>
      <c r="I29" s="37">
        <v>417970</v>
      </c>
      <c r="J29" s="37">
        <v>876075.5328437459</v>
      </c>
      <c r="K29" s="37">
        <v>632574</v>
      </c>
      <c r="L29" s="37">
        <v>840399.33443523559</v>
      </c>
      <c r="M29" s="37">
        <v>356762.04727835068</v>
      </c>
      <c r="N29" s="37"/>
      <c r="O29" s="37"/>
      <c r="P29" s="37"/>
      <c r="Q29" s="37">
        <v>1391795</v>
      </c>
      <c r="R29" s="37">
        <v>2452342</v>
      </c>
      <c r="S29" s="37">
        <v>417970</v>
      </c>
      <c r="T29" s="37">
        <v>876076</v>
      </c>
      <c r="U29" s="37">
        <v>632574</v>
      </c>
      <c r="V29" s="37">
        <v>840399</v>
      </c>
      <c r="W29" s="37">
        <v>356762</v>
      </c>
      <c r="X29" s="37">
        <v>764683</v>
      </c>
      <c r="Y29" s="37">
        <v>291334</v>
      </c>
      <c r="Z29" s="37">
        <v>580610</v>
      </c>
      <c r="AA29" s="37">
        <v>1285994</v>
      </c>
    </row>
    <row r="30" spans="2:31" hidden="1" outlineLevel="1">
      <c r="B30" s="36" t="s">
        <v>1140</v>
      </c>
      <c r="C30" s="37"/>
      <c r="D30" s="37"/>
      <c r="E30" s="37"/>
      <c r="F30" s="37"/>
      <c r="G30" s="37"/>
      <c r="H30" s="37"/>
      <c r="I30" s="37"/>
      <c r="J30" s="37"/>
      <c r="K30" s="37">
        <v>0</v>
      </c>
      <c r="L30" s="37"/>
      <c r="M30" s="37"/>
      <c r="N30" s="37"/>
      <c r="O30" s="37"/>
      <c r="P30" s="37"/>
      <c r="Q30" s="37"/>
      <c r="R30" s="37">
        <v>0</v>
      </c>
      <c r="S30" s="37">
        <v>-953796</v>
      </c>
      <c r="T30" s="37">
        <v>-1481968</v>
      </c>
      <c r="U30" s="37">
        <v>-1376614</v>
      </c>
      <c r="V30" s="37">
        <v>-1819124</v>
      </c>
      <c r="W30" s="37">
        <v>-223417</v>
      </c>
      <c r="X30" s="37">
        <v>-221845</v>
      </c>
      <c r="Y30" s="37">
        <v>0</v>
      </c>
      <c r="Z30" s="37"/>
      <c r="AA30" s="37"/>
    </row>
    <row r="31" spans="2:31" collapsed="1">
      <c r="B31" s="67" t="s">
        <v>68</v>
      </c>
      <c r="C31" s="59">
        <f>SUM(C10:C30,C8)</f>
        <v>49153222</v>
      </c>
      <c r="D31" s="59">
        <f t="shared" ref="D31:M31" si="0">SUM(D10:D30,D8)</f>
        <v>92261898</v>
      </c>
      <c r="E31" s="59">
        <f t="shared" si="0"/>
        <v>44901663.94183141</v>
      </c>
      <c r="F31" s="59">
        <f t="shared" si="0"/>
        <v>90061258.223070547</v>
      </c>
      <c r="G31" s="59">
        <f t="shared" si="0"/>
        <v>45060630.134468623</v>
      </c>
      <c r="H31" s="59">
        <f t="shared" si="0"/>
        <v>86183269.411266208</v>
      </c>
      <c r="I31" s="59">
        <f t="shared" si="0"/>
        <v>53992888.848316848</v>
      </c>
      <c r="J31" s="59">
        <f t="shared" si="0"/>
        <v>109930079.53312197</v>
      </c>
      <c r="K31" s="59">
        <f t="shared" si="0"/>
        <v>59078677.076402068</v>
      </c>
      <c r="L31" s="59">
        <f t="shared" si="0"/>
        <v>136442719.98732945</v>
      </c>
      <c r="M31" s="59">
        <f t="shared" si="0"/>
        <v>86991687.990854055</v>
      </c>
      <c r="N31" s="37"/>
      <c r="O31" s="59">
        <f>SUM(O10:O29,O8)</f>
        <v>71471274.94183141</v>
      </c>
      <c r="P31" s="59">
        <f>SUM(P10:P29,P8)</f>
        <v>143619616.18724081</v>
      </c>
      <c r="Q31" s="59">
        <f>SUM(Q10:Q29,Q8)</f>
        <v>75570910.134468615</v>
      </c>
      <c r="R31" s="59">
        <f t="shared" ref="R31:X31" si="1">SUM(R10:R30,R8)</f>
        <v>148492195</v>
      </c>
      <c r="S31" s="59">
        <f t="shared" si="1"/>
        <v>86732596.286960006</v>
      </c>
      <c r="T31" s="59">
        <f t="shared" si="1"/>
        <v>175540203</v>
      </c>
      <c r="U31" s="59">
        <f t="shared" si="1"/>
        <v>93578120</v>
      </c>
      <c r="V31" s="59">
        <f t="shared" si="1"/>
        <v>215378117</v>
      </c>
      <c r="W31" s="59">
        <f t="shared" si="1"/>
        <v>134871064</v>
      </c>
      <c r="X31" s="59">
        <f t="shared" si="1"/>
        <v>268479348</v>
      </c>
      <c r="Y31" s="59">
        <f t="shared" ref="Y31:Z31" si="2">SUM(Y10:Y30,Y8)</f>
        <v>136362512</v>
      </c>
      <c r="Z31" s="59">
        <f t="shared" si="2"/>
        <v>273684260</v>
      </c>
      <c r="AA31" s="59">
        <f t="shared" ref="AA31" si="3">SUM(AA10:AA30,AA8)</f>
        <v>138587123</v>
      </c>
    </row>
    <row r="32" spans="2:31" s="46" customFormat="1" hidden="1" outlineLevel="1">
      <c r="B32" s="36" t="s">
        <v>134</v>
      </c>
      <c r="C32" s="37">
        <v>-150526</v>
      </c>
      <c r="D32" s="37">
        <v>-684289</v>
      </c>
      <c r="E32" s="37">
        <v>-681984</v>
      </c>
      <c r="F32" s="37">
        <v>-1213236</v>
      </c>
      <c r="G32" s="37">
        <v>-2298405</v>
      </c>
      <c r="H32" s="37">
        <v>-6787427.4231525008</v>
      </c>
      <c r="I32" s="37">
        <v>2672629.1746300003</v>
      </c>
      <c r="J32" s="37">
        <v>4021037</v>
      </c>
      <c r="K32" s="37">
        <v>-3744273</v>
      </c>
      <c r="L32" s="37">
        <v>-771017.0159199998</v>
      </c>
      <c r="M32" s="37">
        <v>627059.56217280019</v>
      </c>
      <c r="N32" s="37"/>
      <c r="O32" s="37">
        <v>-681984</v>
      </c>
      <c r="P32" s="37">
        <v>-1213236</v>
      </c>
      <c r="Q32" s="37">
        <v>-2298405</v>
      </c>
      <c r="R32" s="37">
        <v>-6787427</v>
      </c>
      <c r="S32" s="37">
        <v>2672629</v>
      </c>
      <c r="T32" s="37">
        <v>4021037</v>
      </c>
      <c r="U32" s="37">
        <v>-3744273</v>
      </c>
      <c r="V32" s="37">
        <v>-769807</v>
      </c>
      <c r="W32" s="37">
        <v>646621</v>
      </c>
      <c r="X32" s="37">
        <v>-10556245</v>
      </c>
      <c r="Y32" s="37">
        <v>8279342</v>
      </c>
      <c r="Z32" s="37">
        <v>11438560</v>
      </c>
      <c r="AA32" s="37">
        <v>-3281565</v>
      </c>
      <c r="AD32" s="4"/>
      <c r="AE32" s="4"/>
    </row>
    <row r="33" spans="2:27" ht="25.5" hidden="1" outlineLevel="1">
      <c r="B33" s="36" t="s">
        <v>1147</v>
      </c>
      <c r="C33" s="37">
        <v>32494</v>
      </c>
      <c r="D33" s="37">
        <v>217829</v>
      </c>
      <c r="E33" s="37">
        <v>694382</v>
      </c>
      <c r="F33" s="37">
        <v>-663651</v>
      </c>
      <c r="G33" s="37">
        <v>-482683</v>
      </c>
      <c r="H33" s="37">
        <v>-2114952</v>
      </c>
      <c r="I33" s="37">
        <v>121257</v>
      </c>
      <c r="J33" s="37">
        <f>-174393-425761-132207</f>
        <v>-732361</v>
      </c>
      <c r="K33" s="37">
        <v>171000</v>
      </c>
      <c r="L33" s="37">
        <v>-2362492.2936380547</v>
      </c>
      <c r="M33" s="37">
        <v>-111143.39158193389</v>
      </c>
      <c r="N33" s="37"/>
      <c r="O33" s="37">
        <v>1047896</v>
      </c>
      <c r="P33" s="37">
        <v>-1442228</v>
      </c>
      <c r="Q33" s="37">
        <v>1039160</v>
      </c>
      <c r="R33" s="37">
        <v>-322155</v>
      </c>
      <c r="S33" s="37">
        <v>879767</v>
      </c>
      <c r="T33" s="37">
        <f>188592-425761-132207</f>
        <v>-369376</v>
      </c>
      <c r="U33" s="37">
        <v>519691</v>
      </c>
      <c r="V33" s="37">
        <v>-2156435</v>
      </c>
      <c r="W33" s="37">
        <v>154699</v>
      </c>
      <c r="X33" s="37">
        <v>-3919502</v>
      </c>
      <c r="Y33" s="37">
        <v>-25651666</v>
      </c>
      <c r="Z33" s="37">
        <v>-44111234</v>
      </c>
      <c r="AA33" s="37">
        <v>4166405</v>
      </c>
    </row>
    <row r="34" spans="2:27" hidden="1" outlineLevel="1">
      <c r="B34" s="36" t="s">
        <v>1105</v>
      </c>
      <c r="C34" s="37">
        <v>81422</v>
      </c>
      <c r="D34" s="37">
        <v>375292</v>
      </c>
      <c r="E34" s="37">
        <v>-76547</v>
      </c>
      <c r="F34" s="37">
        <v>511328</v>
      </c>
      <c r="G34" s="37">
        <v>-194994</v>
      </c>
      <c r="H34" s="37">
        <v>-132870</v>
      </c>
      <c r="I34" s="37">
        <v>-224130</v>
      </c>
      <c r="J34" s="37">
        <v>14583</v>
      </c>
      <c r="K34" s="37">
        <v>-53570</v>
      </c>
      <c r="L34" s="37">
        <v>-44243.888019998805</v>
      </c>
      <c r="M34" s="37">
        <v>-342227.40516289772</v>
      </c>
      <c r="N34" s="37"/>
      <c r="O34" s="37">
        <v>-76547</v>
      </c>
      <c r="P34" s="37">
        <v>511328</v>
      </c>
      <c r="Q34" s="37">
        <v>-194994</v>
      </c>
      <c r="R34" s="37">
        <v>-132870</v>
      </c>
      <c r="S34" s="37">
        <v>-224130</v>
      </c>
      <c r="T34" s="37">
        <v>14583</v>
      </c>
      <c r="U34" s="37">
        <v>-53570</v>
      </c>
      <c r="V34" s="37">
        <v>-44244</v>
      </c>
      <c r="W34" s="37">
        <v>-342227</v>
      </c>
      <c r="X34" s="37">
        <v>-235359</v>
      </c>
      <c r="Y34" s="37">
        <v>9533</v>
      </c>
      <c r="Z34" s="37">
        <v>118803</v>
      </c>
      <c r="AA34" s="37">
        <v>-42476</v>
      </c>
    </row>
    <row r="35" spans="2:27" hidden="1" outlineLevel="1">
      <c r="B35" s="36" t="s">
        <v>135</v>
      </c>
      <c r="C35" s="37">
        <v>-196337</v>
      </c>
      <c r="D35" s="37">
        <v>-150461</v>
      </c>
      <c r="E35" s="37">
        <v>-674803</v>
      </c>
      <c r="F35" s="37">
        <v>1145281</v>
      </c>
      <c r="G35" s="37">
        <v>-85527</v>
      </c>
      <c r="H35" s="37">
        <v>-1397460</v>
      </c>
      <c r="I35" s="37">
        <v>1291955</v>
      </c>
      <c r="J35" s="37">
        <v>1388557</v>
      </c>
      <c r="K35" s="37">
        <v>-66702</v>
      </c>
      <c r="L35" s="37">
        <v>76435</v>
      </c>
      <c r="M35" s="37">
        <v>61223</v>
      </c>
      <c r="N35" s="37"/>
      <c r="O35" s="37">
        <v>-674803</v>
      </c>
      <c r="P35" s="37">
        <v>1145281</v>
      </c>
      <c r="Q35" s="37">
        <v>-85527</v>
      </c>
      <c r="R35" s="37">
        <v>-1397460</v>
      </c>
      <c r="S35" s="37">
        <v>1291955</v>
      </c>
      <c r="T35" s="37">
        <v>1388557</v>
      </c>
      <c r="U35" s="37">
        <v>-66702</v>
      </c>
      <c r="V35" s="37">
        <v>76435</v>
      </c>
      <c r="W35" s="37">
        <v>61223</v>
      </c>
      <c r="X35" s="37">
        <v>80587</v>
      </c>
      <c r="Y35" s="37">
        <v>-199077</v>
      </c>
      <c r="Z35" s="37">
        <v>-1076397</v>
      </c>
      <c r="AA35" s="37">
        <v>-268657</v>
      </c>
    </row>
    <row r="36" spans="2:27" hidden="1" outlineLevel="1">
      <c r="B36" s="36" t="s">
        <v>136</v>
      </c>
      <c r="C36" s="37">
        <v>-93561</v>
      </c>
      <c r="D36" s="37">
        <v>-181674</v>
      </c>
      <c r="E36" s="37">
        <v>175703</v>
      </c>
      <c r="F36" s="37">
        <v>118695</v>
      </c>
      <c r="G36" s="37">
        <v>121258</v>
      </c>
      <c r="H36" s="37">
        <v>-134189</v>
      </c>
      <c r="I36" s="37"/>
      <c r="J36" s="37"/>
      <c r="K36" s="37"/>
      <c r="L36" s="37"/>
      <c r="M36" s="37"/>
      <c r="N36" s="37"/>
      <c r="O36" s="37">
        <v>175703</v>
      </c>
      <c r="P36" s="37">
        <v>118695</v>
      </c>
      <c r="Q36" s="37">
        <v>121258</v>
      </c>
      <c r="R36" s="37">
        <v>-134189</v>
      </c>
      <c r="S36" s="37"/>
      <c r="T36" s="37"/>
      <c r="U36" s="37"/>
      <c r="V36" s="37"/>
      <c r="W36" s="37"/>
      <c r="X36" s="37"/>
      <c r="Y36" s="37"/>
      <c r="Z36" s="37">
        <v>0</v>
      </c>
      <c r="AA36" s="37"/>
    </row>
    <row r="37" spans="2:27" hidden="1" outlineLevel="1">
      <c r="B37" s="36" t="s">
        <v>1106</v>
      </c>
      <c r="C37" s="37">
        <v>-15445128</v>
      </c>
      <c r="D37" s="37">
        <v>-27260045</v>
      </c>
      <c r="E37" s="37">
        <v>-10906838.941831406</v>
      </c>
      <c r="F37" s="37">
        <v>-23050790.223070543</v>
      </c>
      <c r="G37" s="37">
        <f>-10985291.1344686-G22</f>
        <v>-11145472.1344686</v>
      </c>
      <c r="H37" s="37">
        <f>-36733082.61833-358375.381669998</f>
        <v>-37091458</v>
      </c>
      <c r="I37" s="37">
        <v>-633467.75927684503</v>
      </c>
      <c r="J37" s="37">
        <v>12327040.807111388</v>
      </c>
      <c r="K37" s="37">
        <v>5733016</v>
      </c>
      <c r="L37" s="37">
        <v>-3073282.7636015974</v>
      </c>
      <c r="M37" s="37">
        <v>7429847.6740372442</v>
      </c>
      <c r="N37" s="37"/>
      <c r="O37" s="37">
        <v>-10906838.941831406</v>
      </c>
      <c r="P37" s="37">
        <v>-23050789</v>
      </c>
      <c r="Q37" s="37">
        <f>-10985291.1344686-Q22</f>
        <v>-11145472.1344686</v>
      </c>
      <c r="R37" s="37">
        <v>-37091458</v>
      </c>
      <c r="S37" s="37">
        <v>-633468</v>
      </c>
      <c r="T37" s="37">
        <v>12327041</v>
      </c>
      <c r="U37" s="37">
        <v>5733016</v>
      </c>
      <c r="V37" s="37">
        <v>-3073283</v>
      </c>
      <c r="W37" s="37">
        <v>7594276</v>
      </c>
      <c r="X37" s="37">
        <v>-878203</v>
      </c>
      <c r="Y37" s="37">
        <v>-2952475</v>
      </c>
      <c r="Z37" s="37">
        <v>-19393859</v>
      </c>
      <c r="AA37" s="37">
        <v>-5552630</v>
      </c>
    </row>
    <row r="38" spans="2:27" hidden="1" outlineLevel="1">
      <c r="B38" s="36" t="s">
        <v>1107</v>
      </c>
      <c r="C38" s="37">
        <v>-6520157</v>
      </c>
      <c r="D38" s="37">
        <v>15353763</v>
      </c>
      <c r="E38" s="37">
        <v>-8041387</v>
      </c>
      <c r="F38" s="37">
        <v>10247625</v>
      </c>
      <c r="G38" s="37">
        <v>-11594098</v>
      </c>
      <c r="H38" s="37">
        <v>31228973.765450001</v>
      </c>
      <c r="I38" s="37">
        <v>-41197305.593441501</v>
      </c>
      <c r="J38" s="37">
        <f>-2133881+6232493</f>
        <v>4098612</v>
      </c>
      <c r="K38" s="37">
        <v>-20495855</v>
      </c>
      <c r="L38" s="37">
        <v>22606585.4605649</v>
      </c>
      <c r="M38" s="37">
        <v>-14549213.441741489</v>
      </c>
      <c r="N38" s="37"/>
      <c r="O38" s="37">
        <v>-8041387</v>
      </c>
      <c r="P38" s="37">
        <v>10095176</v>
      </c>
      <c r="Q38" s="37">
        <v>-12060388</v>
      </c>
      <c r="R38" s="37">
        <v>31320853</v>
      </c>
      <c r="S38" s="37">
        <v>-41193042</v>
      </c>
      <c r="T38" s="37">
        <f>-2133884+6232493</f>
        <v>4098609</v>
      </c>
      <c r="U38" s="37">
        <v>-20495855</v>
      </c>
      <c r="V38" s="37">
        <v>22581591</v>
      </c>
      <c r="W38" s="37">
        <v>-14824178</v>
      </c>
      <c r="X38" s="37">
        <v>39166657</v>
      </c>
      <c r="Y38" s="37">
        <v>-42891699</v>
      </c>
      <c r="Z38" s="37">
        <v>11730176</v>
      </c>
      <c r="AA38" s="37">
        <v>-16127737</v>
      </c>
    </row>
    <row r="39" spans="2:27" hidden="1" outlineLevel="1">
      <c r="B39" s="36" t="s">
        <v>1108</v>
      </c>
      <c r="C39" s="37">
        <v>-221434</v>
      </c>
      <c r="D39" s="37">
        <v>926667</v>
      </c>
      <c r="E39" s="37">
        <v>-762729</v>
      </c>
      <c r="F39" s="37">
        <v>511124</v>
      </c>
      <c r="G39" s="37">
        <v>71207</v>
      </c>
      <c r="H39" s="37">
        <v>3935219.5227499995</v>
      </c>
      <c r="I39" s="37"/>
      <c r="J39" s="37"/>
      <c r="K39" s="37"/>
      <c r="L39" s="37"/>
      <c r="M39" s="37"/>
      <c r="N39" s="37"/>
      <c r="O39" s="37">
        <v>-762729</v>
      </c>
      <c r="P39" s="37">
        <v>511124</v>
      </c>
      <c r="Q39" s="37">
        <v>71207</v>
      </c>
      <c r="R39" s="37">
        <v>3935220</v>
      </c>
      <c r="S39" s="37"/>
      <c r="T39" s="37"/>
      <c r="U39" s="37"/>
      <c r="V39" s="37"/>
      <c r="W39" s="37"/>
      <c r="X39" s="37"/>
      <c r="Y39" s="37"/>
      <c r="Z39" s="37">
        <v>0</v>
      </c>
      <c r="AA39" s="37"/>
    </row>
    <row r="40" spans="2:27" hidden="1" outlineLevel="1">
      <c r="B40" s="36" t="s">
        <v>1244</v>
      </c>
      <c r="C40" s="37">
        <v>446993</v>
      </c>
      <c r="D40" s="37">
        <v>-2527243</v>
      </c>
      <c r="E40" s="37">
        <v>2209339</v>
      </c>
      <c r="F40" s="37">
        <v>-1827166</v>
      </c>
      <c r="G40" s="37">
        <v>3801298</v>
      </c>
      <c r="H40" s="37">
        <v>-500829</v>
      </c>
      <c r="I40" s="37">
        <v>7979164</v>
      </c>
      <c r="J40" s="37">
        <v>7563344</v>
      </c>
      <c r="K40" s="37">
        <v>2853519</v>
      </c>
      <c r="L40" s="37">
        <v>542719.68346254388</v>
      </c>
      <c r="M40" s="37">
        <v>18350601.279683333</v>
      </c>
      <c r="N40" s="37"/>
      <c r="O40" s="37">
        <v>2209339</v>
      </c>
      <c r="P40" s="37">
        <v>-1827166</v>
      </c>
      <c r="Q40" s="37">
        <v>3801298</v>
      </c>
      <c r="R40" s="37">
        <v>-500829</v>
      </c>
      <c r="S40" s="37">
        <v>7979164</v>
      </c>
      <c r="T40" s="37">
        <v>7563344</v>
      </c>
      <c r="U40" s="37">
        <v>2853519</v>
      </c>
      <c r="V40" s="37">
        <v>542720</v>
      </c>
      <c r="W40" s="37">
        <v>18059651</v>
      </c>
      <c r="X40" s="37">
        <v>17579947</v>
      </c>
      <c r="Y40" s="37">
        <v>5356594</v>
      </c>
      <c r="Z40" s="37">
        <v>-2101091</v>
      </c>
      <c r="AA40" s="37">
        <v>-3870376</v>
      </c>
    </row>
    <row r="41" spans="2:27" hidden="1" outlineLevel="1">
      <c r="B41" s="36" t="s">
        <v>1109</v>
      </c>
      <c r="C41" s="37">
        <v>75111</v>
      </c>
      <c r="D41" s="37">
        <v>189020</v>
      </c>
      <c r="E41" s="37">
        <v>658724</v>
      </c>
      <c r="F41" s="37">
        <v>1131356</v>
      </c>
      <c r="G41" s="37">
        <v>-787359</v>
      </c>
      <c r="H41" s="37">
        <v>-390342</v>
      </c>
      <c r="I41" s="37">
        <v>1212632</v>
      </c>
      <c r="J41" s="37">
        <v>1535847</v>
      </c>
      <c r="K41" s="37">
        <v>738643</v>
      </c>
      <c r="L41" s="37">
        <v>1323062.716</v>
      </c>
      <c r="M41" s="37">
        <v>-391504</v>
      </c>
      <c r="N41" s="37"/>
      <c r="O41" s="37">
        <v>658724</v>
      </c>
      <c r="P41" s="37">
        <v>1131356</v>
      </c>
      <c r="Q41" s="37">
        <v>-787359</v>
      </c>
      <c r="R41" s="37">
        <v>-390341</v>
      </c>
      <c r="S41" s="37">
        <v>1212632</v>
      </c>
      <c r="T41" s="37">
        <v>1535847</v>
      </c>
      <c r="U41" s="37">
        <v>738643</v>
      </c>
      <c r="V41" s="37">
        <v>1323063</v>
      </c>
      <c r="W41" s="37">
        <v>-391504</v>
      </c>
      <c r="X41" s="37">
        <v>1244589</v>
      </c>
      <c r="Y41" s="37">
        <v>1868802</v>
      </c>
      <c r="Z41" s="37">
        <v>1088662</v>
      </c>
      <c r="AA41" s="37">
        <v>-1320805</v>
      </c>
    </row>
    <row r="42" spans="2:27" hidden="1" outlineLevel="1">
      <c r="B42" s="36" t="s">
        <v>1110</v>
      </c>
      <c r="C42" s="37"/>
      <c r="D42" s="37">
        <v>355296</v>
      </c>
      <c r="E42" s="37">
        <v>1064898</v>
      </c>
      <c r="F42" s="37">
        <v>1858968</v>
      </c>
      <c r="G42" s="37">
        <v>208701</v>
      </c>
      <c r="H42" s="37">
        <f>231232-231232</f>
        <v>0</v>
      </c>
      <c r="I42" s="37"/>
      <c r="J42" s="37"/>
      <c r="K42" s="37"/>
      <c r="L42" s="37"/>
      <c r="M42" s="37"/>
      <c r="N42" s="37"/>
      <c r="O42" s="37">
        <v>1064898</v>
      </c>
      <c r="P42" s="37">
        <v>1858968</v>
      </c>
      <c r="Q42" s="37">
        <v>208701</v>
      </c>
      <c r="R42" s="37">
        <f>231232-231232</f>
        <v>0</v>
      </c>
      <c r="S42" s="37"/>
      <c r="T42" s="37"/>
      <c r="U42" s="37"/>
      <c r="V42" s="37"/>
      <c r="W42" s="37"/>
      <c r="X42" s="37"/>
      <c r="Y42" s="37"/>
      <c r="Z42" s="37"/>
      <c r="AA42" s="37"/>
    </row>
    <row r="43" spans="2:27" collapsed="1">
      <c r="B43" s="67" t="s">
        <v>25</v>
      </c>
      <c r="C43" s="59">
        <f t="shared" ref="C43:M43" si="4">SUM(C31:C42)</f>
        <v>27162099</v>
      </c>
      <c r="D43" s="59">
        <f t="shared" si="4"/>
        <v>78876053</v>
      </c>
      <c r="E43" s="59">
        <f t="shared" si="4"/>
        <v>28560421.000000004</v>
      </c>
      <c r="F43" s="59">
        <f t="shared" si="4"/>
        <v>78830792</v>
      </c>
      <c r="G43" s="59">
        <f t="shared" si="4"/>
        <v>22674556.000000022</v>
      </c>
      <c r="H43" s="59">
        <f t="shared" si="4"/>
        <v>72797935.276313707</v>
      </c>
      <c r="I43" s="59">
        <f t="shared" si="4"/>
        <v>25215622.670228504</v>
      </c>
      <c r="J43" s="59">
        <f t="shared" si="4"/>
        <v>140146739.34023336</v>
      </c>
      <c r="K43" s="59">
        <f t="shared" si="4"/>
        <v>44214455.076402068</v>
      </c>
      <c r="L43" s="59">
        <f t="shared" si="4"/>
        <v>154740486.88617721</v>
      </c>
      <c r="M43" s="59">
        <f t="shared" si="4"/>
        <v>98066331.26826112</v>
      </c>
      <c r="N43" s="37"/>
      <c r="O43" s="59">
        <f t="shared" ref="O43:X43" si="5">SUM(O31:O42)</f>
        <v>55483546</v>
      </c>
      <c r="P43" s="59">
        <f t="shared" si="5"/>
        <v>131458125.18724081</v>
      </c>
      <c r="Q43" s="59">
        <f t="shared" si="5"/>
        <v>54240389.000000015</v>
      </c>
      <c r="R43" s="59">
        <f t="shared" si="5"/>
        <v>136991539</v>
      </c>
      <c r="S43" s="59">
        <f t="shared" si="5"/>
        <v>58718103.286960006</v>
      </c>
      <c r="T43" s="59">
        <f t="shared" si="5"/>
        <v>206119845</v>
      </c>
      <c r="U43" s="59">
        <f t="shared" si="5"/>
        <v>79062589</v>
      </c>
      <c r="V43" s="59">
        <f t="shared" si="5"/>
        <v>233858157</v>
      </c>
      <c r="W43" s="59">
        <f t="shared" si="5"/>
        <v>145829625</v>
      </c>
      <c r="X43" s="59">
        <f t="shared" si="5"/>
        <v>310961819</v>
      </c>
      <c r="Y43" s="59">
        <f t="shared" ref="Y43:Z43" si="6">SUM(Y31:Y42)</f>
        <v>80181866</v>
      </c>
      <c r="Z43" s="59">
        <f t="shared" si="6"/>
        <v>231377880</v>
      </c>
      <c r="AA43" s="59">
        <f t="shared" ref="AA43" si="7">SUM(AA31:AA42)</f>
        <v>112289282</v>
      </c>
    </row>
    <row r="44" spans="2:27" hidden="1" outlineLevel="1">
      <c r="B44" s="68" t="s">
        <v>27</v>
      </c>
      <c r="C44" s="37">
        <v>-3479429</v>
      </c>
      <c r="D44" s="37">
        <v>-4876235</v>
      </c>
      <c r="E44" s="37">
        <v>-887889</v>
      </c>
      <c r="F44" s="37">
        <v>-4433235</v>
      </c>
      <c r="G44" s="37">
        <v>-1700471</v>
      </c>
      <c r="H44" s="37">
        <v>-2896680.4050151492</v>
      </c>
      <c r="I44" s="37">
        <v>-4269324.9876200007</v>
      </c>
      <c r="J44" s="37">
        <v>-13088683</v>
      </c>
      <c r="K44" s="37">
        <v>-7190972</v>
      </c>
      <c r="L44" s="37">
        <v>-18213507.44513052</v>
      </c>
      <c r="M44" s="37">
        <v>-8448738.9772316329</v>
      </c>
      <c r="N44" s="37"/>
      <c r="O44" s="37">
        <v>-887889</v>
      </c>
      <c r="P44" s="37">
        <v>-4433235</v>
      </c>
      <c r="Q44" s="37">
        <v>-1700471</v>
      </c>
      <c r="R44" s="37">
        <v>-2896680</v>
      </c>
      <c r="S44" s="37">
        <v>-4269325</v>
      </c>
      <c r="T44" s="37">
        <v>-13088683</v>
      </c>
      <c r="U44" s="37">
        <v>-7190972</v>
      </c>
      <c r="V44" s="37">
        <v>-18213507</v>
      </c>
      <c r="W44" s="37">
        <v>-8448739</v>
      </c>
      <c r="X44" s="37">
        <v>-19276683</v>
      </c>
      <c r="Y44" s="37">
        <v>-12876878</v>
      </c>
      <c r="Z44" s="37">
        <v>-26499623</v>
      </c>
      <c r="AA44" s="37">
        <v>-8461558</v>
      </c>
    </row>
    <row r="45" spans="2:27" hidden="1" outlineLevel="1">
      <c r="B45" s="68" t="s">
        <v>26</v>
      </c>
      <c r="C45" s="37">
        <v>-6683497</v>
      </c>
      <c r="D45" s="37">
        <v>-13334900</v>
      </c>
      <c r="E45" s="37">
        <v>-4986616</v>
      </c>
      <c r="F45" s="37">
        <v>-9860959</v>
      </c>
      <c r="G45" s="37">
        <v>-6844629</v>
      </c>
      <c r="H45" s="37">
        <v>-14322959.090320015</v>
      </c>
      <c r="I45" s="37">
        <v>-6801218.5908700023</v>
      </c>
      <c r="J45" s="37">
        <v>-13050273.096380001</v>
      </c>
      <c r="K45" s="37">
        <v>-6141447.7084800005</v>
      </c>
      <c r="L45" s="37">
        <v>-15019764.756397966</v>
      </c>
      <c r="M45" s="37">
        <v>-12105389.9490836</v>
      </c>
      <c r="N45" s="37"/>
      <c r="O45" s="37">
        <v>-19263811</v>
      </c>
      <c r="P45" s="37">
        <v>-40266504.325880751</v>
      </c>
      <c r="Q45" s="37">
        <v>-22953774</v>
      </c>
      <c r="R45" s="37">
        <v>-46732567</v>
      </c>
      <c r="S45" s="37">
        <v>-22521053</v>
      </c>
      <c r="T45" s="37">
        <v>-43820851</v>
      </c>
      <c r="U45" s="37">
        <v>-21372219</v>
      </c>
      <c r="V45" s="37">
        <v>-48632139</v>
      </c>
      <c r="W45" s="37">
        <v>-32212891</v>
      </c>
      <c r="X45" s="37">
        <v>-67699461</v>
      </c>
      <c r="Y45" s="37">
        <v>-41305383</v>
      </c>
      <c r="Z45" s="37">
        <v>-84683926</v>
      </c>
      <c r="AA45" s="37">
        <v>-46215348</v>
      </c>
    </row>
    <row r="46" spans="2:27" hidden="1" outlineLevel="1">
      <c r="B46" s="68" t="s">
        <v>28</v>
      </c>
      <c r="C46" s="37">
        <v>56647</v>
      </c>
      <c r="D46" s="37">
        <v>343376</v>
      </c>
      <c r="E46" s="37">
        <v>94449</v>
      </c>
      <c r="F46" s="37">
        <v>200720</v>
      </c>
      <c r="G46" s="37">
        <v>155313</v>
      </c>
      <c r="H46" s="37">
        <v>251868.99864000001</v>
      </c>
      <c r="I46" s="37">
        <v>289321.11508000002</v>
      </c>
      <c r="J46" s="37">
        <v>400900.83915000001</v>
      </c>
      <c r="K46" s="37">
        <v>870612</v>
      </c>
      <c r="L46" s="37">
        <v>2457340.1463364521</v>
      </c>
      <c r="M46" s="37">
        <v>2718976.6119399969</v>
      </c>
      <c r="N46" s="37"/>
      <c r="O46" s="37">
        <v>94449</v>
      </c>
      <c r="P46" s="37">
        <v>200720</v>
      </c>
      <c r="Q46" s="37">
        <v>155313</v>
      </c>
      <c r="R46" s="37">
        <v>251870</v>
      </c>
      <c r="S46" s="37">
        <v>289321</v>
      </c>
      <c r="T46" s="37">
        <v>400901</v>
      </c>
      <c r="U46" s="37">
        <v>870612</v>
      </c>
      <c r="V46" s="37">
        <v>2457340</v>
      </c>
      <c r="W46" s="37">
        <v>2718977</v>
      </c>
      <c r="X46" s="37">
        <v>12495547</v>
      </c>
      <c r="Y46" s="37">
        <v>10863039</v>
      </c>
      <c r="Z46" s="37">
        <v>22838367</v>
      </c>
      <c r="AA46" s="37">
        <v>10379107</v>
      </c>
    </row>
    <row r="47" spans="2:27" s="46" customFormat="1" collapsed="1">
      <c r="B47" s="69" t="s">
        <v>31</v>
      </c>
      <c r="C47" s="70">
        <f t="shared" ref="C47:M47" si="8">SUM(C43:C46)</f>
        <v>17055820</v>
      </c>
      <c r="D47" s="70">
        <f t="shared" si="8"/>
        <v>61008294</v>
      </c>
      <c r="E47" s="70">
        <f t="shared" si="8"/>
        <v>22780365.000000004</v>
      </c>
      <c r="F47" s="70">
        <f t="shared" si="8"/>
        <v>64737318</v>
      </c>
      <c r="G47" s="70">
        <f t="shared" si="8"/>
        <v>14284769.000000022</v>
      </c>
      <c r="H47" s="70">
        <f t="shared" si="8"/>
        <v>55830164.779618539</v>
      </c>
      <c r="I47" s="70">
        <f t="shared" si="8"/>
        <v>14434400.206818502</v>
      </c>
      <c r="J47" s="70">
        <f t="shared" si="8"/>
        <v>114408684.08300336</v>
      </c>
      <c r="K47" s="70">
        <f t="shared" si="8"/>
        <v>31752647.367922068</v>
      </c>
      <c r="L47" s="70">
        <f t="shared" si="8"/>
        <v>123964554.83098517</v>
      </c>
      <c r="M47" s="70">
        <f t="shared" si="8"/>
        <v>80231178.953885883</v>
      </c>
      <c r="N47" s="37"/>
      <c r="O47" s="70">
        <f t="shared" ref="O47:X47" si="9">SUM(O43:O46)</f>
        <v>35426295</v>
      </c>
      <c r="P47" s="70">
        <f t="shared" si="9"/>
        <v>86959105.861360058</v>
      </c>
      <c r="Q47" s="70">
        <f t="shared" si="9"/>
        <v>29741457.000000015</v>
      </c>
      <c r="R47" s="70">
        <f t="shared" si="9"/>
        <v>87614162</v>
      </c>
      <c r="S47" s="70">
        <f t="shared" si="9"/>
        <v>32217046.286960006</v>
      </c>
      <c r="T47" s="70">
        <f t="shared" si="9"/>
        <v>149611212</v>
      </c>
      <c r="U47" s="70">
        <f t="shared" si="9"/>
        <v>51370010</v>
      </c>
      <c r="V47" s="70">
        <f t="shared" si="9"/>
        <v>169469851</v>
      </c>
      <c r="W47" s="70">
        <f t="shared" si="9"/>
        <v>107886972</v>
      </c>
      <c r="X47" s="70">
        <f t="shared" si="9"/>
        <v>236481222</v>
      </c>
      <c r="Y47" s="70">
        <f t="shared" ref="Y47:Z47" si="10">SUM(Y43:Y46)</f>
        <v>36862644</v>
      </c>
      <c r="Z47" s="70">
        <f t="shared" si="10"/>
        <v>143032698</v>
      </c>
      <c r="AA47" s="70">
        <f t="shared" ref="AA47" si="11">SUM(AA43:AA46)</f>
        <v>67991483</v>
      </c>
    </row>
    <row r="48" spans="2:27">
      <c r="B48" s="33" t="s">
        <v>32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37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2:27" hidden="1" outlineLevel="1">
      <c r="B49" s="68" t="s">
        <v>80</v>
      </c>
      <c r="C49" s="71">
        <v>-26548869</v>
      </c>
      <c r="D49" s="71">
        <v>-73528262</v>
      </c>
      <c r="E49" s="71">
        <v>-20991571</v>
      </c>
      <c r="F49" s="71">
        <v>-51603538</v>
      </c>
      <c r="G49" s="71">
        <v>-21365943</v>
      </c>
      <c r="H49" s="71">
        <v>-54685954.892758727</v>
      </c>
      <c r="I49" s="71">
        <v>-10747757.303189788</v>
      </c>
      <c r="J49" s="71">
        <v>-27963512.731220856</v>
      </c>
      <c r="K49" s="71">
        <v>-20055008</v>
      </c>
      <c r="L49" s="71">
        <v>-53410602.465510696</v>
      </c>
      <c r="M49" s="71">
        <v>-26737611.844974034</v>
      </c>
      <c r="N49" s="37"/>
      <c r="O49" s="71">
        <v>-20799950</v>
      </c>
      <c r="P49" s="71">
        <v>-50498665.313321725</v>
      </c>
      <c r="Q49" s="71">
        <v>-20844843</v>
      </c>
      <c r="R49" s="71">
        <v>-53911476</v>
      </c>
      <c r="S49" s="71">
        <v>-10899032</v>
      </c>
      <c r="T49" s="71">
        <v>-28136397</v>
      </c>
      <c r="U49" s="71">
        <v>-19804891</v>
      </c>
      <c r="V49" s="71">
        <v>-52781645</v>
      </c>
      <c r="W49" s="71">
        <v>-26509794</v>
      </c>
      <c r="X49" s="71">
        <v>-44241511</v>
      </c>
      <c r="Y49" s="71">
        <v>-24298788</v>
      </c>
      <c r="Z49" s="71">
        <v>-60149858</v>
      </c>
      <c r="AA49" s="71">
        <v>-56952204</v>
      </c>
    </row>
    <row r="50" spans="2:27" hidden="1" outlineLevel="1">
      <c r="B50" s="68" t="s">
        <v>69</v>
      </c>
      <c r="C50" s="71">
        <v>-568803</v>
      </c>
      <c r="D50" s="71">
        <v>-1560744</v>
      </c>
      <c r="E50" s="71">
        <v>-891229</v>
      </c>
      <c r="F50" s="71">
        <v>-2154557</v>
      </c>
      <c r="G50" s="71">
        <v>-947879</v>
      </c>
      <c r="H50" s="71">
        <v>-3921093.8729945207</v>
      </c>
      <c r="I50" s="71">
        <v>-1540894.460930038</v>
      </c>
      <c r="J50" s="71">
        <v>-4026590.6962664807</v>
      </c>
      <c r="K50" s="71">
        <v>-2895086</v>
      </c>
      <c r="L50" s="71">
        <v>-7679038.7060448769</v>
      </c>
      <c r="M50" s="71">
        <v>-6794587.9301038999</v>
      </c>
      <c r="N50" s="37"/>
      <c r="O50" s="71">
        <v>-440716</v>
      </c>
      <c r="P50" s="71">
        <v>-957597</v>
      </c>
      <c r="Q50" s="71">
        <v>-772181</v>
      </c>
      <c r="R50" s="71">
        <v>-3237281</v>
      </c>
      <c r="S50" s="71">
        <v>-1469917</v>
      </c>
      <c r="T50" s="71">
        <v>-3340433</v>
      </c>
      <c r="U50" s="71">
        <v>-2830655</v>
      </c>
      <c r="V50" s="71">
        <v>-7093766</v>
      </c>
      <c r="W50" s="71">
        <v>-5118592</v>
      </c>
      <c r="X50" s="71">
        <v>-7833858</v>
      </c>
      <c r="Y50" s="71">
        <v>-2394886</v>
      </c>
      <c r="Z50" s="71">
        <v>-6940677</v>
      </c>
      <c r="AA50" s="71">
        <v>-4000084</v>
      </c>
    </row>
    <row r="51" spans="2:27" hidden="1" outlineLevel="1">
      <c r="B51" s="68" t="s">
        <v>70</v>
      </c>
      <c r="C51" s="71">
        <v>-100</v>
      </c>
      <c r="D51" s="71">
        <v>-63023</v>
      </c>
      <c r="E51" s="71"/>
      <c r="F51" s="71">
        <v>-847</v>
      </c>
      <c r="G51" s="71"/>
      <c r="H51" s="71"/>
      <c r="I51" s="71"/>
      <c r="J51" s="71"/>
      <c r="K51" s="71"/>
      <c r="L51" s="71"/>
      <c r="M51" s="71"/>
      <c r="N51" s="37"/>
      <c r="O51" s="71"/>
      <c r="P51" s="71"/>
      <c r="Q51" s="71"/>
      <c r="R51" s="71">
        <v>0</v>
      </c>
      <c r="S51" s="71"/>
      <c r="T51" s="71">
        <v>0</v>
      </c>
      <c r="U51" s="71"/>
      <c r="V51" s="71"/>
      <c r="W51" s="71">
        <v>0</v>
      </c>
      <c r="X51" s="71"/>
      <c r="Y51" s="71"/>
      <c r="Z51" s="71">
        <v>0</v>
      </c>
      <c r="AA51" s="71"/>
    </row>
    <row r="52" spans="2:27" hidden="1" outlineLevel="1">
      <c r="B52" s="68" t="s">
        <v>1111</v>
      </c>
      <c r="C52" s="71"/>
      <c r="D52" s="71"/>
      <c r="E52" s="71"/>
      <c r="F52" s="71">
        <v>187758</v>
      </c>
      <c r="G52" s="71"/>
      <c r="H52" s="71"/>
      <c r="I52" s="71"/>
      <c r="J52" s="71"/>
      <c r="K52" s="71"/>
      <c r="L52" s="71"/>
      <c r="M52" s="71"/>
      <c r="N52" s="37"/>
      <c r="O52" s="71"/>
      <c r="P52" s="71">
        <v>187758</v>
      </c>
      <c r="Q52" s="71"/>
      <c r="R52" s="71">
        <v>0</v>
      </c>
      <c r="S52" s="71"/>
      <c r="T52" s="71">
        <v>0</v>
      </c>
      <c r="U52" s="71"/>
      <c r="V52" s="71"/>
      <c r="W52" s="71"/>
      <c r="X52" s="71"/>
      <c r="Y52" s="71"/>
      <c r="Z52" s="71">
        <v>0</v>
      </c>
      <c r="AA52" s="71"/>
    </row>
    <row r="53" spans="2:27" hidden="1" outlineLevel="1">
      <c r="B53" s="68" t="s">
        <v>73</v>
      </c>
      <c r="C53" s="26">
        <v>48257</v>
      </c>
      <c r="D53" s="26">
        <v>459417</v>
      </c>
      <c r="E53" s="26">
        <v>919880</v>
      </c>
      <c r="F53" s="37">
        <v>1079628</v>
      </c>
      <c r="G53" s="37">
        <v>147106</v>
      </c>
      <c r="H53" s="37">
        <v>672002.06224832917</v>
      </c>
      <c r="I53" s="37">
        <v>707739</v>
      </c>
      <c r="J53" s="37">
        <v>2069927.6206</v>
      </c>
      <c r="K53" s="37">
        <v>684945</v>
      </c>
      <c r="L53" s="37">
        <v>1050807.6277900001</v>
      </c>
      <c r="M53" s="37">
        <v>300348.23766854894</v>
      </c>
      <c r="N53" s="37"/>
      <c r="O53" s="37">
        <v>919880</v>
      </c>
      <c r="P53" s="37">
        <v>1079628</v>
      </c>
      <c r="Q53" s="37">
        <v>147106</v>
      </c>
      <c r="R53" s="37">
        <v>672002</v>
      </c>
      <c r="S53" s="37">
        <v>707739</v>
      </c>
      <c r="T53" s="37">
        <v>2069928</v>
      </c>
      <c r="U53" s="37">
        <v>684945</v>
      </c>
      <c r="V53" s="37">
        <v>1050808</v>
      </c>
      <c r="W53" s="71">
        <v>300348</v>
      </c>
      <c r="X53" s="71">
        <v>579829</v>
      </c>
      <c r="Y53" s="71">
        <v>181347</v>
      </c>
      <c r="Z53" s="71">
        <v>1000921</v>
      </c>
      <c r="AA53" s="71">
        <v>355279</v>
      </c>
    </row>
    <row r="54" spans="2:27" hidden="1" outlineLevel="1">
      <c r="B54" s="68" t="s">
        <v>1176</v>
      </c>
      <c r="C54" s="26"/>
      <c r="D54" s="26"/>
      <c r="E54" s="26"/>
      <c r="F54" s="37"/>
      <c r="G54" s="37"/>
      <c r="H54" s="37"/>
      <c r="I54" s="37"/>
      <c r="J54" s="37"/>
      <c r="K54" s="37"/>
      <c r="L54" s="37">
        <f>-68148804</f>
        <v>-68148804</v>
      </c>
      <c r="M54" s="37"/>
      <c r="N54" s="37"/>
      <c r="O54" s="37"/>
      <c r="P54" s="37"/>
      <c r="Q54" s="37"/>
      <c r="R54" s="37"/>
      <c r="S54" s="37"/>
      <c r="T54" s="37"/>
      <c r="U54" s="37"/>
      <c r="V54" s="37">
        <f>-68148804</f>
        <v>-68148804</v>
      </c>
      <c r="W54" s="37"/>
      <c r="X54" s="37">
        <v>-1401224</v>
      </c>
      <c r="Y54" s="37"/>
      <c r="Z54" s="37">
        <v>-7493100</v>
      </c>
      <c r="AA54" s="37">
        <v>799064</v>
      </c>
    </row>
    <row r="55" spans="2:27" hidden="1" outlineLevel="1">
      <c r="B55" s="68" t="s">
        <v>1064</v>
      </c>
      <c r="C55" s="26"/>
      <c r="D55" s="26"/>
      <c r="E55" s="26">
        <v>601180</v>
      </c>
      <c r="F55" s="37">
        <v>601180</v>
      </c>
      <c r="G55" s="37"/>
      <c r="H55" s="37"/>
      <c r="I55" s="37"/>
      <c r="J55" s="37"/>
      <c r="K55" s="37"/>
      <c r="L55" s="37"/>
      <c r="M55" s="37"/>
      <c r="N55" s="37"/>
      <c r="O55" s="37">
        <v>601180</v>
      </c>
      <c r="P55" s="37">
        <v>601180</v>
      </c>
      <c r="Q55" s="37"/>
      <c r="R55" s="37">
        <v>0</v>
      </c>
      <c r="S55" s="37"/>
      <c r="T55" s="37">
        <v>0</v>
      </c>
      <c r="U55" s="37"/>
      <c r="V55" s="37"/>
      <c r="W55" s="37"/>
      <c r="X55" s="37"/>
      <c r="Y55" s="37"/>
      <c r="Z55" s="37">
        <v>0</v>
      </c>
      <c r="AA55" s="37"/>
    </row>
    <row r="56" spans="2:27" hidden="1" outlineLevel="1">
      <c r="B56" s="68" t="s">
        <v>71</v>
      </c>
      <c r="C56" s="37">
        <v>-1071070</v>
      </c>
      <c r="D56" s="37">
        <v>-1855287</v>
      </c>
      <c r="E56" s="37">
        <v>-151768</v>
      </c>
      <c r="F56" s="37">
        <v>-1507414</v>
      </c>
      <c r="G56" s="37">
        <v>-178720</v>
      </c>
      <c r="H56" s="37">
        <v>-539031.86132000003</v>
      </c>
      <c r="I56" s="37"/>
      <c r="J56" s="37"/>
      <c r="K56" s="37">
        <v>-5000</v>
      </c>
      <c r="L56" s="37">
        <v>-11495</v>
      </c>
      <c r="M56" s="37">
        <v>-15021000</v>
      </c>
      <c r="N56" s="37"/>
      <c r="O56" s="37">
        <v>-151768</v>
      </c>
      <c r="P56" s="37">
        <v>-1507414</v>
      </c>
      <c r="Q56" s="37">
        <v>-178720</v>
      </c>
      <c r="R56" s="37">
        <v>-539032</v>
      </c>
      <c r="S56" s="37"/>
      <c r="T56" s="37">
        <v>0</v>
      </c>
      <c r="U56" s="37">
        <v>-5000</v>
      </c>
      <c r="V56" s="37">
        <v>-11495</v>
      </c>
      <c r="W56" s="37">
        <v>-15021000</v>
      </c>
      <c r="X56" s="37">
        <v>-25076900</v>
      </c>
      <c r="Y56" s="37">
        <v>0</v>
      </c>
      <c r="Z56" s="37">
        <v>-35000000</v>
      </c>
      <c r="AA56" s="37">
        <v>-6383417</v>
      </c>
    </row>
    <row r="57" spans="2:27" hidden="1" outlineLevel="1">
      <c r="B57" s="68" t="s">
        <v>72</v>
      </c>
      <c r="C57" s="37">
        <v>820710</v>
      </c>
      <c r="D57" s="37">
        <v>1552549</v>
      </c>
      <c r="E57" s="37">
        <v>165123</v>
      </c>
      <c r="F57" s="37">
        <v>166756</v>
      </c>
      <c r="G57" s="37">
        <v>275000</v>
      </c>
      <c r="H57" s="37">
        <v>692805.71868000005</v>
      </c>
      <c r="I57" s="37">
        <v>140901.81599999999</v>
      </c>
      <c r="J57" s="37">
        <v>196832.09109</v>
      </c>
      <c r="K57" s="37">
        <v>0</v>
      </c>
      <c r="L57" s="37">
        <v>230673.99947000001</v>
      </c>
      <c r="M57" s="37">
        <v>7990</v>
      </c>
      <c r="N57" s="37"/>
      <c r="O57" s="37">
        <v>165123</v>
      </c>
      <c r="P57" s="37">
        <v>166756</v>
      </c>
      <c r="Q57" s="37">
        <v>275000</v>
      </c>
      <c r="R57" s="37">
        <v>692806</v>
      </c>
      <c r="S57" s="37">
        <v>140902</v>
      </c>
      <c r="T57" s="37">
        <v>196832</v>
      </c>
      <c r="U57" s="37">
        <v>0</v>
      </c>
      <c r="V57" s="37">
        <v>230674</v>
      </c>
      <c r="W57" s="37">
        <v>7990</v>
      </c>
      <c r="X57" s="37">
        <v>25017002</v>
      </c>
      <c r="Y57" s="37">
        <v>13422</v>
      </c>
      <c r="Z57" s="37">
        <v>20027263</v>
      </c>
      <c r="AA57" s="37">
        <v>21219286</v>
      </c>
    </row>
    <row r="58" spans="2:27" hidden="1" outlineLevel="1">
      <c r="B58" s="68" t="s">
        <v>1112</v>
      </c>
      <c r="C58" s="37"/>
      <c r="D58" s="37">
        <v>800695</v>
      </c>
      <c r="E58" s="37">
        <v>5491</v>
      </c>
      <c r="F58" s="37">
        <v>22742</v>
      </c>
      <c r="G58" s="37"/>
      <c r="H58" s="37">
        <v>614318</v>
      </c>
      <c r="I58" s="37">
        <v>127554</v>
      </c>
      <c r="J58" s="37">
        <v>190268.50258281338</v>
      </c>
      <c r="K58" s="37">
        <v>10687</v>
      </c>
      <c r="L58" s="37">
        <v>65195.854722030926</v>
      </c>
      <c r="M58" s="37">
        <v>149033.34703424992</v>
      </c>
      <c r="N58" s="37"/>
      <c r="O58" s="37">
        <v>5491</v>
      </c>
      <c r="P58" s="37">
        <v>22742</v>
      </c>
      <c r="Q58" s="37"/>
      <c r="R58" s="37">
        <v>614318</v>
      </c>
      <c r="S58" s="37">
        <v>127554</v>
      </c>
      <c r="T58" s="37">
        <v>190269</v>
      </c>
      <c r="U58" s="37">
        <v>10687</v>
      </c>
      <c r="V58" s="37">
        <v>65196</v>
      </c>
      <c r="W58" s="37">
        <v>149033</v>
      </c>
      <c r="X58" s="37">
        <v>505729</v>
      </c>
      <c r="Y58" s="37">
        <v>49467</v>
      </c>
      <c r="Z58" s="37">
        <v>315146</v>
      </c>
      <c r="AA58" s="37">
        <v>58294</v>
      </c>
    </row>
    <row r="59" spans="2:27" collapsed="1">
      <c r="B59" s="69" t="s">
        <v>29</v>
      </c>
      <c r="C59" s="72">
        <f t="shared" ref="C59:H59" si="12">SUM(C49:C58)</f>
        <v>-27319875</v>
      </c>
      <c r="D59" s="72">
        <f t="shared" si="12"/>
        <v>-74194655</v>
      </c>
      <c r="E59" s="72">
        <f t="shared" si="12"/>
        <v>-20342894</v>
      </c>
      <c r="F59" s="72">
        <f t="shared" si="12"/>
        <v>-53208292</v>
      </c>
      <c r="G59" s="72">
        <f t="shared" si="12"/>
        <v>-22070436</v>
      </c>
      <c r="H59" s="72">
        <f t="shared" si="12"/>
        <v>-57166954.846144915</v>
      </c>
      <c r="I59" s="72">
        <f t="shared" ref="I59:M59" si="13">SUM(I49:I58)</f>
        <v>-11312456.948119827</v>
      </c>
      <c r="J59" s="72">
        <f t="shared" si="13"/>
        <v>-29533075.21321452</v>
      </c>
      <c r="K59" s="72">
        <f t="shared" si="13"/>
        <v>-22259462</v>
      </c>
      <c r="L59" s="72">
        <f t="shared" si="13"/>
        <v>-127903262.68957354</v>
      </c>
      <c r="M59" s="72">
        <f t="shared" si="13"/>
        <v>-48095828.190375127</v>
      </c>
      <c r="N59" s="34"/>
      <c r="O59" s="72">
        <f t="shared" ref="O59:X59" si="14">SUM(O49:O58)</f>
        <v>-19700760</v>
      </c>
      <c r="P59" s="72">
        <f t="shared" si="14"/>
        <v>-50905612.313321725</v>
      </c>
      <c r="Q59" s="72">
        <f t="shared" si="14"/>
        <v>-21373638</v>
      </c>
      <c r="R59" s="72">
        <f t="shared" si="14"/>
        <v>-55708663</v>
      </c>
      <c r="S59" s="72">
        <f t="shared" si="14"/>
        <v>-11392754</v>
      </c>
      <c r="T59" s="72">
        <f t="shared" si="14"/>
        <v>-29019801</v>
      </c>
      <c r="U59" s="72">
        <f t="shared" si="14"/>
        <v>-21944914</v>
      </c>
      <c r="V59" s="72">
        <f t="shared" si="14"/>
        <v>-126689032</v>
      </c>
      <c r="W59" s="72">
        <f t="shared" si="14"/>
        <v>-46192015</v>
      </c>
      <c r="X59" s="72">
        <f t="shared" si="14"/>
        <v>-52450933</v>
      </c>
      <c r="Y59" s="72">
        <f t="shared" ref="Y59:Z59" si="15">SUM(Y49:Y58)</f>
        <v>-26449438</v>
      </c>
      <c r="Z59" s="72">
        <f t="shared" si="15"/>
        <v>-88240305</v>
      </c>
      <c r="AA59" s="72">
        <f t="shared" ref="AA59" si="16">SUM(AA49:AA58)</f>
        <v>-44903782</v>
      </c>
    </row>
    <row r="60" spans="2:27">
      <c r="B60" s="33" t="s">
        <v>33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</row>
    <row r="61" spans="2:27" hidden="1" outlineLevel="1">
      <c r="B61" s="68" t="s">
        <v>74</v>
      </c>
      <c r="C61" s="26">
        <v>292208417</v>
      </c>
      <c r="D61" s="26">
        <v>688243578</v>
      </c>
      <c r="E61" s="26">
        <v>309844273</v>
      </c>
      <c r="F61" s="26">
        <v>600693859</v>
      </c>
      <c r="G61" s="26">
        <v>315528786</v>
      </c>
      <c r="H61" s="26">
        <v>695756324.08928001</v>
      </c>
      <c r="I61" s="26">
        <v>355739723</v>
      </c>
      <c r="J61" s="26">
        <v>452555764.72177225</v>
      </c>
      <c r="K61" s="26">
        <v>159126753</v>
      </c>
      <c r="L61" s="26">
        <v>169505659.91430753</v>
      </c>
      <c r="M61" s="26">
        <v>68776436.944875747</v>
      </c>
      <c r="N61" s="37"/>
      <c r="O61" s="37">
        <v>309844273</v>
      </c>
      <c r="P61" s="37">
        <v>600693859</v>
      </c>
      <c r="Q61" s="37">
        <v>315528786</v>
      </c>
      <c r="R61" s="26">
        <v>695756324</v>
      </c>
      <c r="S61" s="26">
        <v>355739723</v>
      </c>
      <c r="T61" s="26">
        <v>452555765</v>
      </c>
      <c r="U61" s="26">
        <v>159126753</v>
      </c>
      <c r="V61" s="26">
        <v>169505660</v>
      </c>
      <c r="W61" s="26">
        <v>68776437</v>
      </c>
      <c r="X61" s="26">
        <v>321623454</v>
      </c>
      <c r="Y61" s="26">
        <v>128307685</v>
      </c>
      <c r="Z61" s="26">
        <v>133872923</v>
      </c>
      <c r="AA61" s="26">
        <v>45033433</v>
      </c>
    </row>
    <row r="62" spans="2:27" hidden="1" outlineLevel="1">
      <c r="B62" s="68" t="s">
        <v>75</v>
      </c>
      <c r="C62" s="26">
        <v>-274904591</v>
      </c>
      <c r="D62" s="26">
        <v>-689033285</v>
      </c>
      <c r="E62" s="26">
        <v>-320083889</v>
      </c>
      <c r="F62" s="26">
        <v>-572272534</v>
      </c>
      <c r="G62" s="26">
        <v>-282550169</v>
      </c>
      <c r="H62" s="26">
        <v>-677163334.90268981</v>
      </c>
      <c r="I62" s="26">
        <v>-332160525.76566005</v>
      </c>
      <c r="J62" s="26">
        <v>-471761618.98369998</v>
      </c>
      <c r="K62" s="26">
        <v>-59861811</v>
      </c>
      <c r="L62" s="26">
        <v>-88752693.587576419</v>
      </c>
      <c r="M62" s="26">
        <v>-46116973.187879995</v>
      </c>
      <c r="N62" s="37"/>
      <c r="O62" s="37">
        <v>-320083889</v>
      </c>
      <c r="P62" s="37">
        <v>-572272534</v>
      </c>
      <c r="Q62" s="37">
        <v>-282550169</v>
      </c>
      <c r="R62" s="26">
        <v>-677163335</v>
      </c>
      <c r="S62" s="26">
        <v>-332160526</v>
      </c>
      <c r="T62" s="26">
        <v>-471761619</v>
      </c>
      <c r="U62" s="26">
        <v>-59861811</v>
      </c>
      <c r="V62" s="26">
        <v>-88752694</v>
      </c>
      <c r="W62" s="26">
        <v>-46116973</v>
      </c>
      <c r="X62" s="26">
        <v>-175664781</v>
      </c>
      <c r="Y62" s="26">
        <v>-132331075</v>
      </c>
      <c r="Z62" s="26">
        <v>-153955038</v>
      </c>
      <c r="AA62" s="26">
        <v>-113826936</v>
      </c>
    </row>
    <row r="63" spans="2:27" hidden="1" outlineLevel="1">
      <c r="B63" s="68" t="s">
        <v>79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37"/>
      <c r="O63" s="37"/>
      <c r="P63" s="37"/>
      <c r="Q63" s="37"/>
      <c r="R63" s="26">
        <v>0</v>
      </c>
      <c r="S63" s="26"/>
      <c r="T63" s="26">
        <v>0</v>
      </c>
      <c r="U63" s="26"/>
      <c r="V63" s="26"/>
      <c r="W63" s="26"/>
      <c r="X63" s="26"/>
      <c r="Y63" s="26"/>
      <c r="Z63" s="26">
        <v>0</v>
      </c>
      <c r="AA63" s="26"/>
    </row>
    <row r="64" spans="2:27" hidden="1" outlineLevel="1">
      <c r="B64" s="68" t="s">
        <v>76</v>
      </c>
      <c r="C64" s="37">
        <v>-17991658</v>
      </c>
      <c r="D64" s="37">
        <v>-29233198</v>
      </c>
      <c r="E64" s="37"/>
      <c r="F64" s="26">
        <v>-13808982</v>
      </c>
      <c r="G64" s="26">
        <v>-29918913</v>
      </c>
      <c r="H64" s="26">
        <v>-29993007.032670002</v>
      </c>
      <c r="I64" s="26">
        <v>-14452943</v>
      </c>
      <c r="J64" s="26">
        <v>-29871472</v>
      </c>
      <c r="K64" s="26">
        <v>-24094729</v>
      </c>
      <c r="L64" s="26">
        <v>-48115232.271330997</v>
      </c>
      <c r="M64" s="26">
        <v>-28829503</v>
      </c>
      <c r="N64" s="37"/>
      <c r="O64" s="37"/>
      <c r="P64" s="37">
        <v>-13808982</v>
      </c>
      <c r="Q64" s="37">
        <v>-29918913</v>
      </c>
      <c r="R64" s="26">
        <v>-29993007</v>
      </c>
      <c r="S64" s="26">
        <v>-14452943</v>
      </c>
      <c r="T64" s="26">
        <v>-29871472</v>
      </c>
      <c r="U64" s="26">
        <v>-24094729</v>
      </c>
      <c r="V64" s="26">
        <v>-48115232</v>
      </c>
      <c r="W64" s="26">
        <v>-28829503</v>
      </c>
      <c r="X64" s="26">
        <v>-28829503</v>
      </c>
      <c r="Y64" s="26">
        <v>0</v>
      </c>
      <c r="Z64" s="26">
        <v>0</v>
      </c>
      <c r="AA64" s="26">
        <v>-27713679</v>
      </c>
    </row>
    <row r="65" spans="2:27" hidden="1" outlineLevel="1">
      <c r="B65" s="68" t="s">
        <v>1148</v>
      </c>
      <c r="C65" s="37"/>
      <c r="D65" s="37">
        <v>-1250</v>
      </c>
      <c r="E65" s="37">
        <v>-1610</v>
      </c>
      <c r="F65" s="26">
        <v>-3345</v>
      </c>
      <c r="G65" s="37"/>
      <c r="H65" s="37"/>
      <c r="I65" s="37"/>
      <c r="J65" s="37"/>
      <c r="K65" s="37">
        <v>0</v>
      </c>
      <c r="L65" s="37"/>
      <c r="M65" s="37"/>
      <c r="N65" s="37"/>
      <c r="O65" s="37">
        <v>-13289674</v>
      </c>
      <c r="P65" s="37">
        <v>-24527811.650809251</v>
      </c>
      <c r="Q65" s="37">
        <v>-16153486</v>
      </c>
      <c r="R65" s="37">
        <v>-33242289</v>
      </c>
      <c r="S65" s="37">
        <v>-17702348</v>
      </c>
      <c r="T65" s="37">
        <v>-35715802</v>
      </c>
      <c r="U65" s="37">
        <v>-19931911</v>
      </c>
      <c r="V65" s="37">
        <v>-46719526</v>
      </c>
      <c r="W65" s="37">
        <v>-29559606</v>
      </c>
      <c r="X65" s="37">
        <v>-58781230</v>
      </c>
      <c r="Y65" s="37">
        <v>-29150852</v>
      </c>
      <c r="Z65" s="37">
        <v>-59008055</v>
      </c>
      <c r="AA65" s="37">
        <v>-29860797</v>
      </c>
    </row>
    <row r="66" spans="2:27" hidden="1" outlineLevel="1">
      <c r="B66" s="68" t="s">
        <v>1216</v>
      </c>
      <c r="C66" s="37"/>
      <c r="D66" s="37"/>
      <c r="E66" s="37"/>
      <c r="F66" s="26">
        <v>-17727687</v>
      </c>
      <c r="G66" s="26">
        <v>-5109648</v>
      </c>
      <c r="H66" s="26">
        <v>-5109648.0010199994</v>
      </c>
      <c r="I66" s="26"/>
      <c r="J66" s="26"/>
      <c r="K66" s="26"/>
      <c r="L66" s="26"/>
      <c r="M66" s="26"/>
      <c r="N66" s="37"/>
      <c r="O66" s="37"/>
      <c r="P66" s="37">
        <v>-17727687</v>
      </c>
      <c r="Q66" s="37">
        <v>-5109648</v>
      </c>
      <c r="R66" s="26">
        <v>-5109648</v>
      </c>
      <c r="S66" s="26"/>
      <c r="T66" s="26"/>
      <c r="U66" s="26"/>
      <c r="V66" s="26"/>
      <c r="W66" s="26"/>
      <c r="X66" s="26"/>
      <c r="Y66" s="26"/>
      <c r="Z66" s="26">
        <v>-78870805</v>
      </c>
      <c r="AA66" s="26">
        <v>-52031</v>
      </c>
    </row>
    <row r="67" spans="2:27" hidden="1" outlineLevel="1">
      <c r="B67" s="68" t="s">
        <v>77</v>
      </c>
      <c r="C67" s="37"/>
      <c r="D67" s="37">
        <v>44988662</v>
      </c>
      <c r="E67" s="37"/>
      <c r="F67" s="26"/>
      <c r="G67" s="37"/>
      <c r="H67" s="37"/>
      <c r="I67" s="37"/>
      <c r="J67" s="37"/>
      <c r="K67" s="37"/>
      <c r="L67" s="37"/>
      <c r="M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2:27" s="43" customFormat="1" collapsed="1">
      <c r="B68" s="41" t="s">
        <v>1113</v>
      </c>
      <c r="C68" s="42">
        <f t="shared" ref="C68:H68" si="17">SUM(C61:C67)</f>
        <v>-687832</v>
      </c>
      <c r="D68" s="42">
        <f t="shared" si="17"/>
        <v>14964507</v>
      </c>
      <c r="E68" s="42">
        <f t="shared" si="17"/>
        <v>-10241226</v>
      </c>
      <c r="F68" s="42">
        <f t="shared" si="17"/>
        <v>-3118689</v>
      </c>
      <c r="G68" s="42">
        <f t="shared" si="17"/>
        <v>-2049944</v>
      </c>
      <c r="H68" s="42">
        <f t="shared" si="17"/>
        <v>-16509665.847099807</v>
      </c>
      <c r="I68" s="42">
        <f t="shared" ref="I68:M68" si="18">SUM(I61:I67)</f>
        <v>9126254.2343399525</v>
      </c>
      <c r="J68" s="42">
        <f t="shared" si="18"/>
        <v>-49077326.261927724</v>
      </c>
      <c r="K68" s="42">
        <f t="shared" si="18"/>
        <v>75170213</v>
      </c>
      <c r="L68" s="42">
        <f t="shared" si="18"/>
        <v>32637734.055400118</v>
      </c>
      <c r="M68" s="42">
        <f t="shared" si="18"/>
        <v>-6170039.2430042475</v>
      </c>
      <c r="N68" s="52"/>
      <c r="O68" s="42">
        <f t="shared" ref="O68:X68" si="19">SUM(O61:O67)</f>
        <v>-23529290</v>
      </c>
      <c r="P68" s="42">
        <f t="shared" si="19"/>
        <v>-27643155.650809251</v>
      </c>
      <c r="Q68" s="42">
        <f t="shared" si="19"/>
        <v>-18203430</v>
      </c>
      <c r="R68" s="42">
        <f t="shared" si="19"/>
        <v>-49751955</v>
      </c>
      <c r="S68" s="42">
        <f t="shared" si="19"/>
        <v>-8576094</v>
      </c>
      <c r="T68" s="42">
        <f t="shared" si="19"/>
        <v>-84793128</v>
      </c>
      <c r="U68" s="42">
        <f t="shared" si="19"/>
        <v>55238302</v>
      </c>
      <c r="V68" s="42">
        <f t="shared" si="19"/>
        <v>-14081792</v>
      </c>
      <c r="W68" s="42">
        <f t="shared" si="19"/>
        <v>-35729645</v>
      </c>
      <c r="X68" s="42">
        <f t="shared" si="19"/>
        <v>58347940</v>
      </c>
      <c r="Y68" s="42">
        <f t="shared" ref="Y68:Z68" si="20">SUM(Y61:Y67)</f>
        <v>-33174242</v>
      </c>
      <c r="Z68" s="42">
        <f t="shared" si="20"/>
        <v>-157960975</v>
      </c>
      <c r="AA68" s="42">
        <f t="shared" ref="AA68" si="21">SUM(AA61:AA67)</f>
        <v>-126420010</v>
      </c>
    </row>
    <row r="69" spans="2:27" s="43" customFormat="1" ht="25.5">
      <c r="B69" s="41" t="s">
        <v>1149</v>
      </c>
      <c r="C69" s="42"/>
      <c r="D69" s="42"/>
      <c r="E69" s="42"/>
      <c r="F69" s="42"/>
      <c r="G69" s="42"/>
      <c r="H69" s="42"/>
      <c r="I69" s="42"/>
      <c r="J69" s="42"/>
      <c r="K69" s="42">
        <v>6743</v>
      </c>
      <c r="L69" s="52"/>
      <c r="M69" s="52">
        <v>-5541884.5283699995</v>
      </c>
      <c r="N69" s="52"/>
      <c r="O69" s="42"/>
      <c r="P69" s="42"/>
      <c r="Q69" s="42"/>
      <c r="R69" s="42"/>
      <c r="S69" s="42"/>
      <c r="T69" s="42"/>
      <c r="U69" s="42">
        <v>6743</v>
      </c>
      <c r="V69" s="42"/>
      <c r="W69" s="42">
        <v>-5541885</v>
      </c>
      <c r="X69" s="42">
        <v>-864713</v>
      </c>
      <c r="Y69" s="42">
        <v>7303077</v>
      </c>
      <c r="Z69" s="42">
        <v>9542351</v>
      </c>
      <c r="AA69" s="42">
        <v>-4720919</v>
      </c>
    </row>
    <row r="70" spans="2:27">
      <c r="B70" s="41" t="s">
        <v>1114</v>
      </c>
      <c r="C70" s="42">
        <f t="shared" ref="C70:H70" si="22">SUM(C68:C68,C59,C47)</f>
        <v>-10951887</v>
      </c>
      <c r="D70" s="42">
        <f t="shared" si="22"/>
        <v>1778146</v>
      </c>
      <c r="E70" s="42">
        <f t="shared" si="22"/>
        <v>-7803754.9999999963</v>
      </c>
      <c r="F70" s="42">
        <f t="shared" si="22"/>
        <v>8410337</v>
      </c>
      <c r="G70" s="42">
        <f t="shared" si="22"/>
        <v>-9835610.9999999776</v>
      </c>
      <c r="H70" s="42">
        <f t="shared" si="22"/>
        <v>-17846455.913626187</v>
      </c>
      <c r="I70" s="42">
        <f>SUM(I68:I68,I59,I47)</f>
        <v>12248197.493038628</v>
      </c>
      <c r="J70" s="42">
        <f>SUM(J68:J68,J59,J47)</f>
        <v>35798282.607861117</v>
      </c>
      <c r="K70" s="42">
        <f>SUM(K68:K69,K59,K47)</f>
        <v>84670141.367922068</v>
      </c>
      <c r="L70" s="42">
        <f>SUM(L68:L69,L59,L47)</f>
        <v>28699026.196811751</v>
      </c>
      <c r="M70" s="42">
        <f>SUM(M68:M69,M59,M47)</f>
        <v>20423426.992136508</v>
      </c>
      <c r="N70" s="52"/>
      <c r="O70" s="42">
        <f t="shared" ref="O70:T70" si="23">SUM(O68:O68,O59,O47)</f>
        <v>-7803755</v>
      </c>
      <c r="P70" s="42">
        <f t="shared" si="23"/>
        <v>8410337.8972290903</v>
      </c>
      <c r="Q70" s="42">
        <f t="shared" si="23"/>
        <v>-9835610.9999999851</v>
      </c>
      <c r="R70" s="42">
        <f t="shared" si="23"/>
        <v>-17846456</v>
      </c>
      <c r="S70" s="42">
        <f t="shared" si="23"/>
        <v>12248198.286960006</v>
      </c>
      <c r="T70" s="42">
        <f t="shared" si="23"/>
        <v>35798283</v>
      </c>
      <c r="U70" s="42">
        <f t="shared" ref="U70:Z70" si="24">SUM(U68:U69,U59,U47)</f>
        <v>84670141</v>
      </c>
      <c r="V70" s="42">
        <f t="shared" si="24"/>
        <v>28699027</v>
      </c>
      <c r="W70" s="42">
        <f t="shared" si="24"/>
        <v>20423427</v>
      </c>
      <c r="X70" s="42">
        <f t="shared" si="24"/>
        <v>241513516</v>
      </c>
      <c r="Y70" s="42">
        <f t="shared" si="24"/>
        <v>-15457959</v>
      </c>
      <c r="Z70" s="42">
        <f t="shared" si="24"/>
        <v>-93626231</v>
      </c>
      <c r="AA70" s="42">
        <f t="shared" ref="AA70" si="25">SUM(AA68:AA69,AA59,AA47)</f>
        <v>-108053228</v>
      </c>
    </row>
    <row r="71" spans="2:27">
      <c r="B71" s="41" t="s">
        <v>191</v>
      </c>
      <c r="C71" s="42">
        <v>16559271</v>
      </c>
      <c r="D71" s="42">
        <v>16559271</v>
      </c>
      <c r="E71" s="42">
        <v>18337417</v>
      </c>
      <c r="F71" s="42">
        <f>E71</f>
        <v>18337417</v>
      </c>
      <c r="G71" s="42">
        <v>26747754</v>
      </c>
      <c r="H71" s="42">
        <v>26747754</v>
      </c>
      <c r="I71" s="42">
        <v>8901298</v>
      </c>
      <c r="J71" s="42">
        <v>8901298</v>
      </c>
      <c r="K71" s="42">
        <f>J72</f>
        <v>44699580.607861117</v>
      </c>
      <c r="L71" s="42">
        <f>J72</f>
        <v>44699580.607861117</v>
      </c>
      <c r="M71" s="42">
        <f>L72</f>
        <v>73398606.804672867</v>
      </c>
      <c r="N71" s="52"/>
      <c r="O71" s="42">
        <v>18337417</v>
      </c>
      <c r="P71" s="42">
        <v>18337417</v>
      </c>
      <c r="Q71" s="42">
        <v>26747754</v>
      </c>
      <c r="R71" s="42">
        <v>26747754</v>
      </c>
      <c r="S71" s="42">
        <v>8901298</v>
      </c>
      <c r="T71" s="42">
        <v>8901298</v>
      </c>
      <c r="U71" s="42">
        <f>T72</f>
        <v>44699580.607861117</v>
      </c>
      <c r="V71" s="42">
        <v>44699581</v>
      </c>
      <c r="W71" s="42">
        <f>V72</f>
        <v>73398608</v>
      </c>
      <c r="X71" s="42">
        <f>W71</f>
        <v>73398608</v>
      </c>
      <c r="Y71" s="42">
        <f>X72</f>
        <v>314912124</v>
      </c>
      <c r="Z71" s="42">
        <f>X72</f>
        <v>314912124</v>
      </c>
      <c r="AA71" s="42">
        <f>Z72</f>
        <v>221285893</v>
      </c>
    </row>
    <row r="72" spans="2:27" ht="13.5" thickBot="1">
      <c r="B72" s="75" t="s">
        <v>192</v>
      </c>
      <c r="C72" s="61">
        <f t="shared" ref="C72:M72" si="26">C71+C70</f>
        <v>5607384</v>
      </c>
      <c r="D72" s="61">
        <f t="shared" si="26"/>
        <v>18337417</v>
      </c>
      <c r="E72" s="61">
        <f t="shared" si="26"/>
        <v>10533662.000000004</v>
      </c>
      <c r="F72" s="61">
        <f t="shared" si="26"/>
        <v>26747754</v>
      </c>
      <c r="G72" s="61">
        <f t="shared" si="26"/>
        <v>16912143.000000022</v>
      </c>
      <c r="H72" s="61">
        <f t="shared" si="26"/>
        <v>8901298.0863738135</v>
      </c>
      <c r="I72" s="61">
        <f t="shared" si="26"/>
        <v>21149495.493038628</v>
      </c>
      <c r="J72" s="61">
        <f t="shared" si="26"/>
        <v>44699580.607861117</v>
      </c>
      <c r="K72" s="61">
        <f t="shared" si="26"/>
        <v>129369721.97578318</v>
      </c>
      <c r="L72" s="61">
        <f t="shared" si="26"/>
        <v>73398606.804672867</v>
      </c>
      <c r="M72" s="61">
        <f t="shared" si="26"/>
        <v>93822033.796809375</v>
      </c>
      <c r="N72" s="34"/>
      <c r="O72" s="61">
        <f>O71+O70</f>
        <v>10533662</v>
      </c>
      <c r="P72" s="61">
        <f>P71+P70</f>
        <v>26747754.89722909</v>
      </c>
      <c r="Q72" s="61">
        <f>Q71+Q70</f>
        <v>16912143.000000015</v>
      </c>
      <c r="R72" s="61">
        <f>R71+R70</f>
        <v>8901298</v>
      </c>
      <c r="S72" s="61">
        <f>S71+S70</f>
        <v>21149496.286960006</v>
      </c>
      <c r="T72" s="61">
        <v>44699580.607861117</v>
      </c>
      <c r="U72" s="61">
        <f t="shared" ref="U72:Z72" si="27">U71+U70</f>
        <v>129369721.60786112</v>
      </c>
      <c r="V72" s="61">
        <f t="shared" si="27"/>
        <v>73398608</v>
      </c>
      <c r="W72" s="61">
        <f t="shared" si="27"/>
        <v>93822035</v>
      </c>
      <c r="X72" s="61">
        <f t="shared" si="27"/>
        <v>314912124</v>
      </c>
      <c r="Y72" s="61">
        <f t="shared" si="27"/>
        <v>299454165</v>
      </c>
      <c r="Z72" s="61">
        <f t="shared" si="27"/>
        <v>221285893</v>
      </c>
      <c r="AA72" s="61">
        <f t="shared" ref="AA72" si="28">AA71+AA70</f>
        <v>113232665</v>
      </c>
    </row>
    <row r="73" spans="2:27" ht="13.5" thickTop="1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R73" s="26"/>
      <c r="S73" s="26"/>
      <c r="T73" s="26"/>
      <c r="U73" s="26"/>
      <c r="V73" s="26"/>
      <c r="W73" s="26"/>
      <c r="X73" s="26"/>
      <c r="Y73" s="26"/>
    </row>
    <row r="74" spans="2:27"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R74" s="26"/>
      <c r="S74" s="26"/>
      <c r="T74" s="26"/>
      <c r="U74" s="26"/>
      <c r="V74" s="26"/>
      <c r="W74" s="26"/>
      <c r="X74" s="26"/>
      <c r="Y74" s="26"/>
    </row>
  </sheetData>
  <hyperlinks>
    <hyperlink ref="B4" location="'Cover list'!A1" display="&gt;&gt;  Content" xr:uid="{00000000-0004-0000-0400-000000000000}"/>
  </hyperlinks>
  <pageMargins left="0.7" right="0.7" top="0.75" bottom="0.75" header="0.3" footer="0.3"/>
  <pageSetup paperSize="9" orientation="portrait" r:id="rId1"/>
  <ignoredErrors>
    <ignoredError sqref="S4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1"/>
  <dimension ref="B1:AC18"/>
  <sheetViews>
    <sheetView showGridLines="0" zoomScale="90" zoomScaleNormal="90" workbookViewId="0">
      <pane xSplit="2" ySplit="6" topLeftCell="J7" activePane="bottomRight" state="frozen"/>
      <selection activeCell="V16" sqref="V16"/>
      <selection pane="topRight" activeCell="V16" sqref="V16"/>
      <selection pane="bottomLeft" activeCell="V16" sqref="V16"/>
      <selection pane="bottomRight"/>
    </sheetView>
  </sheetViews>
  <sheetFormatPr defaultColWidth="9" defaultRowHeight="12.75" outlineLevelCol="1"/>
  <cols>
    <col min="1" max="1" width="5.625" style="4" customWidth="1"/>
    <col min="2" max="2" width="22.625" style="4" customWidth="1"/>
    <col min="3" max="9" width="9.875" style="4" hidden="1" customWidth="1" outlineLevel="1"/>
    <col min="10" max="10" width="9.875" style="4" customWidth="1" collapsed="1"/>
    <col min="11" max="12" width="9.875" style="4" customWidth="1"/>
    <col min="13" max="14" width="10" style="4" bestFit="1" customWidth="1"/>
    <col min="15" max="16" width="10" style="4" customWidth="1"/>
    <col min="17" max="17" width="10.625" style="4" customWidth="1"/>
    <col min="18" max="18" width="12.625" style="4" hidden="1" customWidth="1" outlineLevel="1"/>
    <col min="19" max="19" width="9.875" style="4" hidden="1" customWidth="1" outlineLevel="1"/>
    <col min="20" max="20" width="11.125" style="4" hidden="1" customWidth="1" outlineLevel="1"/>
    <col min="21" max="21" width="10.875" style="4" hidden="1" customWidth="1" outlineLevel="1"/>
    <col min="22" max="22" width="11.125" style="4" hidden="1" customWidth="1" outlineLevel="1"/>
    <col min="23" max="23" width="9.875" style="4" customWidth="1" collapsed="1"/>
    <col min="24" max="24" width="11.125" style="4" customWidth="1" collapsed="1"/>
    <col min="25" max="25" width="10" style="4" customWidth="1"/>
    <col min="26" max="28" width="9.75" style="4" customWidth="1"/>
    <col min="29" max="29" width="10.125" style="4" customWidth="1"/>
    <col min="30" max="16384" width="9" style="4"/>
  </cols>
  <sheetData>
    <row r="1" spans="2:29" ht="15.75" customHeight="1"/>
    <row r="2" spans="2:29" ht="18.75">
      <c r="B2" s="1370" t="s">
        <v>216</v>
      </c>
    </row>
    <row r="3" spans="2:29">
      <c r="B3" s="25" t="s">
        <v>220</v>
      </c>
    </row>
    <row r="4" spans="2:29">
      <c r="B4" s="27" t="s">
        <v>41</v>
      </c>
      <c r="C4" s="2"/>
      <c r="D4" s="2"/>
      <c r="E4" s="3"/>
      <c r="F4" s="3"/>
      <c r="G4" s="3"/>
      <c r="H4" s="3"/>
      <c r="I4" s="3"/>
      <c r="J4" s="3"/>
      <c r="K4" s="3"/>
      <c r="L4" s="3"/>
      <c r="Q4" s="1356"/>
      <c r="R4" s="3"/>
      <c r="S4" s="3"/>
      <c r="Z4" s="3"/>
      <c r="AA4" s="3"/>
      <c r="AB4" s="3"/>
    </row>
    <row r="5" spans="2:29">
      <c r="B5" s="28"/>
      <c r="C5" s="29" t="s">
        <v>174</v>
      </c>
      <c r="D5" s="29" t="s">
        <v>174</v>
      </c>
      <c r="E5" s="29" t="s">
        <v>174</v>
      </c>
      <c r="F5" s="29" t="s">
        <v>174</v>
      </c>
      <c r="G5" s="29" t="s">
        <v>174</v>
      </c>
      <c r="H5" s="29" t="s">
        <v>174</v>
      </c>
      <c r="I5" s="29" t="s">
        <v>174</v>
      </c>
      <c r="J5" s="29" t="s">
        <v>174</v>
      </c>
      <c r="K5" s="29" t="s">
        <v>174</v>
      </c>
      <c r="L5" s="29" t="s">
        <v>174</v>
      </c>
      <c r="M5" s="29" t="s">
        <v>174</v>
      </c>
      <c r="N5" s="29" t="s">
        <v>174</v>
      </c>
      <c r="O5" s="29" t="s">
        <v>174</v>
      </c>
      <c r="P5" s="29" t="s">
        <v>174</v>
      </c>
      <c r="R5" s="29" t="s">
        <v>183</v>
      </c>
      <c r="S5" s="29" t="s">
        <v>183</v>
      </c>
      <c r="T5" s="29" t="s">
        <v>183</v>
      </c>
      <c r="U5" s="29" t="s">
        <v>183</v>
      </c>
      <c r="V5" s="29" t="s">
        <v>183</v>
      </c>
      <c r="W5" s="29" t="s">
        <v>183</v>
      </c>
      <c r="X5" s="29" t="s">
        <v>183</v>
      </c>
      <c r="Y5" s="29" t="s">
        <v>183</v>
      </c>
      <c r="Z5" s="29" t="s">
        <v>183</v>
      </c>
      <c r="AA5" s="29" t="s">
        <v>183</v>
      </c>
      <c r="AB5" s="29" t="s">
        <v>183</v>
      </c>
      <c r="AC5" s="29" t="s">
        <v>183</v>
      </c>
    </row>
    <row r="6" spans="2:29">
      <c r="B6" s="30"/>
      <c r="C6" s="31" t="s">
        <v>164</v>
      </c>
      <c r="D6" s="31" t="s">
        <v>165</v>
      </c>
      <c r="E6" s="31" t="s">
        <v>166</v>
      </c>
      <c r="F6" s="31" t="s">
        <v>182</v>
      </c>
      <c r="G6" s="31" t="s">
        <v>1130</v>
      </c>
      <c r="H6" s="31" t="s">
        <v>1135</v>
      </c>
      <c r="I6" s="31" t="s">
        <v>1139</v>
      </c>
      <c r="J6" s="31" t="s">
        <v>1143</v>
      </c>
      <c r="K6" s="31" t="s">
        <v>1162</v>
      </c>
      <c r="L6" s="31" t="s">
        <v>1183</v>
      </c>
      <c r="M6" s="31" t="s">
        <v>1188</v>
      </c>
      <c r="N6" s="31" t="s">
        <v>1202</v>
      </c>
      <c r="O6" s="1350" t="s">
        <v>1195</v>
      </c>
      <c r="P6" s="31" t="s">
        <v>1228</v>
      </c>
      <c r="Q6" s="32"/>
      <c r="R6" s="31" t="s">
        <v>166</v>
      </c>
      <c r="S6" s="31" t="s">
        <v>182</v>
      </c>
      <c r="T6" s="31" t="s">
        <v>1130</v>
      </c>
      <c r="U6" s="31" t="s">
        <v>1135</v>
      </c>
      <c r="V6" s="31" t="s">
        <v>1139</v>
      </c>
      <c r="W6" s="31" t="s">
        <v>1143</v>
      </c>
      <c r="X6" s="31" t="s">
        <v>1162</v>
      </c>
      <c r="Y6" s="31" t="s">
        <v>1183</v>
      </c>
      <c r="Z6" s="31" t="s">
        <v>1188</v>
      </c>
      <c r="AA6" s="31" t="s">
        <v>1202</v>
      </c>
      <c r="AB6" s="1350" t="s">
        <v>1195</v>
      </c>
      <c r="AC6" s="31" t="s">
        <v>1228</v>
      </c>
    </row>
    <row r="7" spans="2:29">
      <c r="B7" s="76" t="s">
        <v>1087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>
        <v>91645</v>
      </c>
      <c r="P7" s="37">
        <v>220249</v>
      </c>
      <c r="Q7" s="1357"/>
      <c r="R7" s="37">
        <f>BS!O50</f>
        <v>290581189</v>
      </c>
      <c r="S7" s="37">
        <f>BS!P50</f>
        <v>315486679</v>
      </c>
      <c r="T7" s="37">
        <f>BS!Q50</f>
        <v>320600953</v>
      </c>
      <c r="U7" s="37">
        <f>BS!R50</f>
        <v>313490270</v>
      </c>
      <c r="V7" s="37">
        <f>BS!S50</f>
        <v>316141855</v>
      </c>
      <c r="W7" s="37">
        <f>BS!T50</f>
        <v>319084068</v>
      </c>
      <c r="X7" s="37">
        <f>BS!U50</f>
        <v>396043533</v>
      </c>
      <c r="Y7" s="37">
        <f>BS!V50</f>
        <v>383816920</v>
      </c>
      <c r="Z7" s="37">
        <f>BS!W50</f>
        <v>385528033</v>
      </c>
      <c r="AA7" s="37">
        <f>BS!X50</f>
        <v>397829476</v>
      </c>
      <c r="AB7" s="37">
        <f>BS!Y50</f>
        <v>429537893</v>
      </c>
      <c r="AC7" s="37">
        <f>BS!Z50</f>
        <v>458842294</v>
      </c>
    </row>
    <row r="8" spans="2:29">
      <c r="B8" s="76" t="s">
        <v>1085</v>
      </c>
      <c r="C8" s="37">
        <f>BS!D49</f>
        <v>86338130</v>
      </c>
      <c r="D8" s="37">
        <f>BS!E49</f>
        <v>67012634</v>
      </c>
      <c r="E8" s="37">
        <f>BS!F49</f>
        <v>93736140</v>
      </c>
      <c r="F8" s="37">
        <f>BS!G49</f>
        <v>120788823</v>
      </c>
      <c r="G8" s="37">
        <f>BS!H49</f>
        <v>119632362</v>
      </c>
      <c r="H8" s="37">
        <f>BS!I49</f>
        <v>117389235</v>
      </c>
      <c r="I8" s="37">
        <f>BS!J49</f>
        <v>147694926</v>
      </c>
      <c r="J8" s="37">
        <f>BS!K49</f>
        <v>222929802</v>
      </c>
      <c r="K8" s="37">
        <f>BS!L49</f>
        <v>205286600</v>
      </c>
      <c r="L8" s="37">
        <f>BS!M49</f>
        <v>116590801</v>
      </c>
      <c r="M8" s="37">
        <f>Z8</f>
        <v>273270870</v>
      </c>
      <c r="N8" s="37">
        <f>AA8</f>
        <v>282216431</v>
      </c>
      <c r="O8" s="37">
        <f>AB8</f>
        <v>280940450</v>
      </c>
      <c r="P8" s="37">
        <f>AC8</f>
        <v>147920844</v>
      </c>
      <c r="Q8" s="22"/>
      <c r="R8" s="37">
        <f>BS!O49</f>
        <v>93736140</v>
      </c>
      <c r="S8" s="37">
        <f>BS!P49</f>
        <v>120788823</v>
      </c>
      <c r="T8" s="37">
        <f>BS!Q49</f>
        <v>119632362</v>
      </c>
      <c r="U8" s="37">
        <f>BS!R49</f>
        <v>117389235</v>
      </c>
      <c r="V8" s="37">
        <f>BS!S49</f>
        <v>147694926</v>
      </c>
      <c r="W8" s="37">
        <f>BS!T49</f>
        <v>222929802</v>
      </c>
      <c r="X8" s="37">
        <f>BS!U49</f>
        <v>205286600</v>
      </c>
      <c r="Y8" s="37">
        <f>BS!V49</f>
        <v>116590801</v>
      </c>
      <c r="Z8" s="37">
        <f>BS!W49</f>
        <v>273270870</v>
      </c>
      <c r="AA8" s="37">
        <f>BS!X49</f>
        <v>282216431</v>
      </c>
      <c r="AB8" s="37">
        <f>BS!Y49</f>
        <v>280940450</v>
      </c>
      <c r="AC8" s="37">
        <f>BS!Z49</f>
        <v>147920844</v>
      </c>
    </row>
    <row r="9" spans="2:29">
      <c r="B9" s="76" t="s">
        <v>1088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>
        <v>174253</v>
      </c>
      <c r="P9" s="37">
        <v>171324</v>
      </c>
      <c r="Q9" s="37"/>
      <c r="R9" s="37">
        <f>BS!O69</f>
        <v>32160057</v>
      </c>
      <c r="S9" s="37">
        <f>BS!P69</f>
        <v>35123330</v>
      </c>
      <c r="T9" s="37">
        <f>BS!Q69</f>
        <v>36609206</v>
      </c>
      <c r="U9" s="37">
        <f>BS!R69</f>
        <v>37902589</v>
      </c>
      <c r="V9" s="37">
        <f>BS!S69</f>
        <v>41432103</v>
      </c>
      <c r="W9" s="37">
        <f>BS!T69</f>
        <v>43738029</v>
      </c>
      <c r="X9" s="37">
        <f>BS!U69</f>
        <v>60262487</v>
      </c>
      <c r="Y9" s="37">
        <f>BS!V69</f>
        <v>60508804</v>
      </c>
      <c r="Z9" s="37">
        <f>BS!W69</f>
        <v>61283453</v>
      </c>
      <c r="AA9" s="37">
        <f>BS!X69</f>
        <v>61078126</v>
      </c>
      <c r="AB9" s="37">
        <f>BS!Y69</f>
        <v>62886714</v>
      </c>
      <c r="AC9" s="37">
        <f>BS!Z69</f>
        <v>64709507</v>
      </c>
    </row>
    <row r="10" spans="2:29">
      <c r="B10" s="76" t="s">
        <v>1086</v>
      </c>
      <c r="C10" s="37">
        <f>BS!D68</f>
        <v>40121925</v>
      </c>
      <c r="D10" s="37">
        <f>BS!E68</f>
        <v>48583850</v>
      </c>
      <c r="E10" s="37">
        <f>BS!F68</f>
        <v>70837201</v>
      </c>
      <c r="F10" s="37">
        <f>BS!G68</f>
        <v>77524135</v>
      </c>
      <c r="G10" s="37">
        <f>BS!H68</f>
        <v>64578456</v>
      </c>
      <c r="H10" s="37">
        <f>BS!I68</f>
        <v>91203991</v>
      </c>
      <c r="I10" s="37">
        <f>BS!J68</f>
        <v>18391601</v>
      </c>
      <c r="J10" s="37">
        <f>BS!K68</f>
        <v>42559803</v>
      </c>
      <c r="K10" s="37">
        <f>BS!L68</f>
        <v>65139311</v>
      </c>
      <c r="L10" s="37">
        <f>BS!M68</f>
        <v>176270671</v>
      </c>
      <c r="M10" s="37">
        <f>Z10</f>
        <v>147021644</v>
      </c>
      <c r="N10" s="37">
        <f>AA10</f>
        <v>134059038</v>
      </c>
      <c r="O10" s="37">
        <f>AB10</f>
        <v>121194890</v>
      </c>
      <c r="P10" s="37">
        <f>AC10</f>
        <v>186349674</v>
      </c>
      <c r="Q10" s="22"/>
      <c r="R10" s="37">
        <f>BS!O68</f>
        <v>70837201</v>
      </c>
      <c r="S10" s="37">
        <f>BS!P68</f>
        <v>77524135</v>
      </c>
      <c r="T10" s="37">
        <f>BS!Q68</f>
        <v>64578456</v>
      </c>
      <c r="U10" s="37">
        <f>BS!R68</f>
        <v>91203991</v>
      </c>
      <c r="V10" s="37">
        <f>BS!S68</f>
        <v>18391601</v>
      </c>
      <c r="W10" s="37">
        <f>BS!T68</f>
        <v>42559803</v>
      </c>
      <c r="X10" s="37">
        <f>BS!U68</f>
        <v>65139311</v>
      </c>
      <c r="Y10" s="37">
        <f>BS!V68</f>
        <v>176270671</v>
      </c>
      <c r="Z10" s="37">
        <f>BS!W68</f>
        <v>147021644</v>
      </c>
      <c r="AA10" s="37">
        <f>BS!X68</f>
        <v>134059038</v>
      </c>
      <c r="AB10" s="37">
        <f>BS!Y68</f>
        <v>121194890</v>
      </c>
      <c r="AC10" s="37">
        <f>BS!Z68</f>
        <v>186349674</v>
      </c>
    </row>
    <row r="11" spans="2:29" s="46" customFormat="1">
      <c r="B11" s="69" t="s">
        <v>193</v>
      </c>
      <c r="C11" s="70">
        <f t="shared" ref="C11:H11" si="0">SUM(C8:C10)</f>
        <v>126460055</v>
      </c>
      <c r="D11" s="70">
        <f t="shared" si="0"/>
        <v>115596484</v>
      </c>
      <c r="E11" s="70">
        <f t="shared" si="0"/>
        <v>164573341</v>
      </c>
      <c r="F11" s="70">
        <f t="shared" si="0"/>
        <v>198312958</v>
      </c>
      <c r="G11" s="70">
        <f t="shared" si="0"/>
        <v>184210818</v>
      </c>
      <c r="H11" s="70">
        <f t="shared" si="0"/>
        <v>208593226</v>
      </c>
      <c r="I11" s="70">
        <f t="shared" ref="I11:N11" si="1">SUM(I8:I10)</f>
        <v>166086527</v>
      </c>
      <c r="J11" s="70">
        <f t="shared" si="1"/>
        <v>265489605</v>
      </c>
      <c r="K11" s="70">
        <f t="shared" si="1"/>
        <v>270425911</v>
      </c>
      <c r="L11" s="70">
        <f t="shared" si="1"/>
        <v>292861472</v>
      </c>
      <c r="M11" s="70">
        <f t="shared" si="1"/>
        <v>420292514</v>
      </c>
      <c r="N11" s="70">
        <f t="shared" si="1"/>
        <v>416275469</v>
      </c>
      <c r="O11" s="70">
        <f>SUM(O7:O10)</f>
        <v>402401238</v>
      </c>
      <c r="P11" s="70">
        <f>SUM(P7:P10)</f>
        <v>334662091</v>
      </c>
      <c r="Q11" s="22"/>
      <c r="R11" s="70">
        <f t="shared" ref="R11:Z11" si="2">SUM(R7:R10)</f>
        <v>487314587</v>
      </c>
      <c r="S11" s="70">
        <f t="shared" si="2"/>
        <v>548922967</v>
      </c>
      <c r="T11" s="70">
        <f t="shared" si="2"/>
        <v>541420977</v>
      </c>
      <c r="U11" s="70">
        <f t="shared" si="2"/>
        <v>559986085</v>
      </c>
      <c r="V11" s="70">
        <f t="shared" si="2"/>
        <v>523660485</v>
      </c>
      <c r="W11" s="70">
        <f t="shared" si="2"/>
        <v>628311702</v>
      </c>
      <c r="X11" s="70">
        <f t="shared" si="2"/>
        <v>726731931</v>
      </c>
      <c r="Y11" s="70">
        <f t="shared" si="2"/>
        <v>737187196</v>
      </c>
      <c r="Z11" s="70">
        <f t="shared" si="2"/>
        <v>867104000</v>
      </c>
      <c r="AA11" s="70">
        <f>SUM(AA7:AA10)</f>
        <v>875183071</v>
      </c>
      <c r="AB11" s="70">
        <f>SUM(AB7:AB10)</f>
        <v>894559947</v>
      </c>
      <c r="AC11" s="70">
        <f>SUM(AC7:AC10)</f>
        <v>857822319</v>
      </c>
    </row>
    <row r="12" spans="2:29">
      <c r="B12" s="76" t="s">
        <v>49</v>
      </c>
      <c r="C12" s="37">
        <f>BS!D32</f>
        <v>18337417</v>
      </c>
      <c r="D12" s="37">
        <f>BS!E32</f>
        <v>10533662</v>
      </c>
      <c r="E12" s="37">
        <f>BS!F32</f>
        <v>26747754</v>
      </c>
      <c r="F12" s="37">
        <f>BS!G32</f>
        <v>16912143</v>
      </c>
      <c r="G12" s="37">
        <f>BS!H32</f>
        <v>8901298</v>
      </c>
      <c r="H12" s="37">
        <f>BS!I32</f>
        <v>21149496</v>
      </c>
      <c r="I12" s="37">
        <f>BS!J32</f>
        <v>44699581</v>
      </c>
      <c r="J12" s="37">
        <f>BS!K32</f>
        <v>129369722</v>
      </c>
      <c r="K12" s="37">
        <f>BS!L32</f>
        <v>73398608</v>
      </c>
      <c r="L12" s="37">
        <f>BS!M32+15000000</f>
        <v>108822035</v>
      </c>
      <c r="M12" s="37">
        <f>Z12</f>
        <v>314912124</v>
      </c>
      <c r="N12" s="37">
        <f>AA12</f>
        <v>299454165</v>
      </c>
      <c r="O12" s="37">
        <f>AB12</f>
        <v>236285893</v>
      </c>
      <c r="P12" s="37">
        <f>AC12</f>
        <v>113232665</v>
      </c>
      <c r="Q12" s="37"/>
      <c r="R12" s="37">
        <f>BS!O32</f>
        <v>26747754</v>
      </c>
      <c r="S12" s="37">
        <f>BS!P32</f>
        <v>16912143</v>
      </c>
      <c r="T12" s="37">
        <f>BS!Q32</f>
        <v>8901298</v>
      </c>
      <c r="U12" s="37">
        <f>BS!R32</f>
        <v>21149496</v>
      </c>
      <c r="V12" s="37">
        <f>BS!S32</f>
        <v>44699581</v>
      </c>
      <c r="W12" s="37">
        <f>BS!T32</f>
        <v>129369722</v>
      </c>
      <c r="X12" s="37">
        <f>BS!U32</f>
        <v>73398608</v>
      </c>
      <c r="Y12" s="37">
        <f>BS!V32+15000000</f>
        <v>108822035</v>
      </c>
      <c r="Z12" s="37">
        <f>BS!W32</f>
        <v>314912124</v>
      </c>
      <c r="AA12" s="37">
        <f>BS!X32</f>
        <v>299454165</v>
      </c>
      <c r="AB12" s="37">
        <f>BS!Y32+15000000</f>
        <v>236285893</v>
      </c>
      <c r="AC12" s="37">
        <f>BS!Z32</f>
        <v>113232665</v>
      </c>
    </row>
    <row r="13" spans="2:29" s="46" customFormat="1">
      <c r="B13" s="69" t="s">
        <v>43</v>
      </c>
      <c r="C13" s="70">
        <f t="shared" ref="C13:H13" si="3">C11-C12</f>
        <v>108122638</v>
      </c>
      <c r="D13" s="70">
        <f t="shared" si="3"/>
        <v>105062822</v>
      </c>
      <c r="E13" s="70">
        <f t="shared" si="3"/>
        <v>137825587</v>
      </c>
      <c r="F13" s="70">
        <f t="shared" si="3"/>
        <v>181400815</v>
      </c>
      <c r="G13" s="70">
        <f t="shared" si="3"/>
        <v>175309520</v>
      </c>
      <c r="H13" s="70">
        <f t="shared" si="3"/>
        <v>187443730</v>
      </c>
      <c r="I13" s="70">
        <f t="shared" ref="I13:N13" si="4">I11-I12</f>
        <v>121386946</v>
      </c>
      <c r="J13" s="70">
        <f t="shared" si="4"/>
        <v>136119883</v>
      </c>
      <c r="K13" s="70">
        <f t="shared" si="4"/>
        <v>197027303</v>
      </c>
      <c r="L13" s="70">
        <f t="shared" si="4"/>
        <v>184039437</v>
      </c>
      <c r="M13" s="70">
        <f t="shared" si="4"/>
        <v>105380390</v>
      </c>
      <c r="N13" s="70">
        <f t="shared" si="4"/>
        <v>116821304</v>
      </c>
      <c r="O13" s="70">
        <f t="shared" ref="O13:P13" si="5">O11-O12</f>
        <v>166115345</v>
      </c>
      <c r="P13" s="70">
        <f t="shared" si="5"/>
        <v>221429426</v>
      </c>
      <c r="Q13" s="22"/>
      <c r="R13" s="70">
        <f t="shared" ref="R13:W13" si="6">R11-R12</f>
        <v>460566833</v>
      </c>
      <c r="S13" s="70">
        <f t="shared" si="6"/>
        <v>532010824</v>
      </c>
      <c r="T13" s="70">
        <f t="shared" si="6"/>
        <v>532519679</v>
      </c>
      <c r="U13" s="70">
        <f t="shared" si="6"/>
        <v>538836589</v>
      </c>
      <c r="V13" s="70">
        <f t="shared" si="6"/>
        <v>478960904</v>
      </c>
      <c r="W13" s="70">
        <f t="shared" si="6"/>
        <v>498941980</v>
      </c>
      <c r="X13" s="70">
        <f t="shared" ref="X13:AC13" si="7">X11-X12</f>
        <v>653333323</v>
      </c>
      <c r="Y13" s="70">
        <f t="shared" si="7"/>
        <v>628365161</v>
      </c>
      <c r="Z13" s="70">
        <f t="shared" si="7"/>
        <v>552191876</v>
      </c>
      <c r="AA13" s="70">
        <f t="shared" si="7"/>
        <v>575728906</v>
      </c>
      <c r="AB13" s="70">
        <f t="shared" si="7"/>
        <v>658274054</v>
      </c>
      <c r="AC13" s="70">
        <f t="shared" si="7"/>
        <v>744589654</v>
      </c>
    </row>
    <row r="14" spans="2:29" s="40" customFormat="1">
      <c r="B14" s="1358" t="s">
        <v>171</v>
      </c>
      <c r="C14" s="1380">
        <v>1.18</v>
      </c>
      <c r="D14" s="1359">
        <v>1.1983999999999999</v>
      </c>
      <c r="E14" s="1359">
        <v>1.5389999999999999</v>
      </c>
      <c r="F14" s="1359">
        <v>2.0651999999999999</v>
      </c>
      <c r="G14" s="1359">
        <v>2.1093000000000002</v>
      </c>
      <c r="H14" s="1359">
        <v>2.0092749050923921</v>
      </c>
      <c r="I14" s="1359">
        <f>I13/'P&amp;L'!J44</f>
        <v>1.1094640842654535</v>
      </c>
      <c r="J14" s="1359">
        <f>J13/('P&amp;L'!K44+'P&amp;L'!J44-'P&amp;L'!I44)</f>
        <v>1.1927926840238166</v>
      </c>
      <c r="K14" s="1359">
        <f>K13/'P&amp;L'!L44</f>
        <v>1.4796495461819004</v>
      </c>
      <c r="L14" s="1359">
        <f>L13/('P&amp;L'!M44+'P&amp;L'!L44-'P&amp;L'!K44)</f>
        <v>1.1847962811754982</v>
      </c>
      <c r="M14" s="1359">
        <f>M13/('P&amp;L'!N44)</f>
        <v>0.6565404227009406</v>
      </c>
      <c r="N14" s="1359">
        <f>N13/('P&amp;L'!O44+'P&amp;L'!N44-'P&amp;L'!M44)</f>
        <v>0.72019560934381543</v>
      </c>
      <c r="O14" s="1359">
        <f>O13/('P&amp;L'!P44)</f>
        <v>0.99915168871083138</v>
      </c>
      <c r="P14" s="1359">
        <f>P13/('P&amp;L'!Q44+'P&amp;L'!P44-'P&amp;L'!O44)</f>
        <v>1.3694736352789869</v>
      </c>
      <c r="Q14" s="1394"/>
      <c r="R14" s="1359">
        <f>R13/'P&amp;L'!T44</f>
        <v>3.1771487307605164</v>
      </c>
      <c r="S14" s="1381">
        <f>S13/('P&amp;L'!U44+'P&amp;L'!T44-'P&amp;L'!S44)</f>
        <v>3.6250530090836688</v>
      </c>
      <c r="T14" s="1381">
        <f>T13/'P&amp;L'!V47</f>
        <v>3.3881313784841689</v>
      </c>
      <c r="U14" s="1381">
        <f>U13/('P&amp;L'!W44+'P&amp;L'!V44-'P&amp;L'!U44)</f>
        <v>3.3455712167718472</v>
      </c>
      <c r="V14" s="1381">
        <f>V13/'P&amp;L'!X47</f>
        <v>2.6751198001659224</v>
      </c>
      <c r="W14" s="1381">
        <f>W13/('P&amp;L'!Y44+'P&amp;L'!X44-'P&amp;L'!W44)</f>
        <v>2.701256884668175</v>
      </c>
      <c r="X14" s="1381">
        <f>X13/'P&amp;L'!Z47</f>
        <v>3.0366317539375975</v>
      </c>
      <c r="Y14" s="1381">
        <f>Y13/('P&amp;L'!AA44+'P&amp;L'!Z44-'P&amp;L'!Y44)</f>
        <v>2.5305115955243127</v>
      </c>
      <c r="Z14" s="1381">
        <f>Z13/('P&amp;L'!AB44)</f>
        <v>2.1456527067848112</v>
      </c>
      <c r="AA14" s="1381">
        <f>AA13/('P&amp;L'!AC44+'P&amp;L'!AB44-'P&amp;L'!AA44)</f>
        <v>2.2029977004313603</v>
      </c>
      <c r="AB14" s="1381">
        <f>AB13/('P&amp;L'!AD44)</f>
        <v>2.4415386275582653</v>
      </c>
      <c r="AC14" s="1381">
        <f>AC13/('P&amp;L'!AE44+'P&amp;L'!AD44-'P&amp;L'!AC44)</f>
        <v>2.7349513329565269</v>
      </c>
    </row>
    <row r="15" spans="2:29" ht="12.75" customHeight="1">
      <c r="B15" s="47"/>
      <c r="C15" s="37"/>
      <c r="D15" s="37"/>
      <c r="E15" s="26"/>
      <c r="F15" s="1337"/>
      <c r="G15" s="1337"/>
      <c r="H15" s="1393"/>
      <c r="I15" s="1337"/>
      <c r="J15" s="1393"/>
      <c r="K15" s="1337"/>
      <c r="L15" s="1337"/>
      <c r="M15" s="1547"/>
      <c r="N15" s="1547"/>
      <c r="O15" s="1538"/>
      <c r="P15" s="1538"/>
      <c r="Q15" s="37"/>
      <c r="R15" s="1337"/>
      <c r="S15" s="1337"/>
      <c r="V15" s="1388"/>
      <c r="X15" s="1388"/>
    </row>
    <row r="16" spans="2:29">
      <c r="C16" s="1375"/>
      <c r="D16" s="1375"/>
      <c r="E16" s="1375"/>
      <c r="F16" s="1375"/>
      <c r="G16" s="1375"/>
      <c r="H16" s="1375"/>
      <c r="I16" s="1375"/>
      <c r="J16" s="1375"/>
      <c r="K16" s="1375"/>
      <c r="L16" s="1375"/>
      <c r="M16" s="1547"/>
      <c r="N16" s="1547"/>
      <c r="O16" s="1538"/>
      <c r="P16" s="1538"/>
    </row>
    <row r="17" spans="9:16">
      <c r="I17" s="1340"/>
      <c r="J17" s="1340"/>
      <c r="K17" s="1340"/>
      <c r="L17" s="1340"/>
      <c r="M17" s="1547"/>
      <c r="N17" s="1547"/>
      <c r="O17" s="1538"/>
      <c r="P17" s="1538"/>
    </row>
    <row r="18" spans="9:16">
      <c r="M18" s="1547"/>
      <c r="N18" s="1547"/>
      <c r="O18" s="1538"/>
      <c r="P18" s="1538"/>
    </row>
  </sheetData>
  <mergeCells count="2">
    <mergeCell ref="M15:M18"/>
    <mergeCell ref="N15:N18"/>
  </mergeCells>
  <phoneticPr fontId="164" type="noConversion"/>
  <hyperlinks>
    <hyperlink ref="B4" location="'Cover list'!A1" display="&gt;&gt;  Content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29"/>
  <dimension ref="B2:J65"/>
  <sheetViews>
    <sheetView showGridLines="0" zoomScale="90" zoomScaleNormal="90" workbookViewId="0"/>
  </sheetViews>
  <sheetFormatPr defaultColWidth="9" defaultRowHeight="12.75"/>
  <cols>
    <col min="1" max="1" width="5.625" style="4" customWidth="1"/>
    <col min="2" max="2" width="13.375" style="4" bestFit="1" customWidth="1"/>
    <col min="3" max="3" width="17.125" style="4" bestFit="1" customWidth="1"/>
    <col min="4" max="4" width="12.875" style="29" customWidth="1"/>
    <col min="5" max="5" width="8.25" style="4" customWidth="1"/>
    <col min="6" max="6" width="13.25" style="4" customWidth="1"/>
    <col min="7" max="7" width="10" style="4" customWidth="1"/>
    <col min="8" max="8" width="11.375" style="4" customWidth="1"/>
    <col min="9" max="9" width="8.625" style="4" customWidth="1"/>
    <col min="10" max="16384" width="9" style="4"/>
  </cols>
  <sheetData>
    <row r="2" spans="2:10" ht="18.75">
      <c r="B2" s="1370" t="s">
        <v>95</v>
      </c>
      <c r="C2" s="77"/>
    </row>
    <row r="3" spans="2:10">
      <c r="B3" s="25"/>
      <c r="C3" s="77"/>
      <c r="E3" s="78"/>
    </row>
    <row r="4" spans="2:10" s="9" customFormat="1">
      <c r="B4" s="27" t="s">
        <v>41</v>
      </c>
      <c r="C4" s="6"/>
      <c r="D4" s="7"/>
      <c r="E4" s="8"/>
      <c r="G4" s="10"/>
      <c r="H4" s="11"/>
    </row>
    <row r="5" spans="2:10">
      <c r="D5" s="79"/>
      <c r="E5" s="22"/>
      <c r="F5" s="11"/>
      <c r="G5" s="79"/>
      <c r="H5" s="43"/>
      <c r="I5" s="43"/>
    </row>
    <row r="6" spans="2:10" ht="25.5">
      <c r="B6" s="1328" t="s">
        <v>1083</v>
      </c>
      <c r="C6" s="1329" t="s">
        <v>1084</v>
      </c>
      <c r="D6" s="1329" t="s">
        <v>158</v>
      </c>
      <c r="E6" s="1329" t="s">
        <v>159</v>
      </c>
      <c r="F6" s="1329" t="s">
        <v>160</v>
      </c>
      <c r="G6" s="1329" t="s">
        <v>107</v>
      </c>
      <c r="H6" s="1329" t="s">
        <v>161</v>
      </c>
      <c r="I6" s="85"/>
    </row>
    <row r="7" spans="2:10">
      <c r="B7" s="97" t="s">
        <v>1197</v>
      </c>
      <c r="C7" s="26" t="s">
        <v>1198</v>
      </c>
      <c r="D7" s="85">
        <v>20000000</v>
      </c>
      <c r="E7" s="1580">
        <v>9.1499999999999998E-2</v>
      </c>
      <c r="F7" s="1514" t="s">
        <v>162</v>
      </c>
      <c r="G7" s="83">
        <v>45993</v>
      </c>
      <c r="H7" s="1389">
        <v>44901</v>
      </c>
      <c r="I7" s="81"/>
      <c r="J7" s="80"/>
    </row>
    <row r="8" spans="2:10">
      <c r="B8" s="1390" t="s">
        <v>1199</v>
      </c>
      <c r="C8" s="1392" t="s">
        <v>1200</v>
      </c>
      <c r="D8" s="1391">
        <v>30000000</v>
      </c>
      <c r="E8" s="1581">
        <v>9.1999999999999998E-2</v>
      </c>
      <c r="F8" s="1582" t="s">
        <v>1201</v>
      </c>
      <c r="G8" s="1578">
        <v>46786</v>
      </c>
      <c r="H8" s="1579">
        <v>44966</v>
      </c>
      <c r="I8" s="81"/>
      <c r="J8" s="80"/>
    </row>
    <row r="9" spans="2:10">
      <c r="B9" s="94" t="s">
        <v>23</v>
      </c>
      <c r="C9" s="1330"/>
      <c r="D9" s="1330">
        <f>SUM(D7:D8)</f>
        <v>50000000</v>
      </c>
      <c r="E9" s="1330"/>
      <c r="F9" s="1330"/>
      <c r="G9" s="1583"/>
      <c r="H9" s="1583"/>
      <c r="I9" s="85"/>
    </row>
    <row r="10" spans="2:10">
      <c r="D10" s="84"/>
      <c r="E10" s="84"/>
      <c r="F10" s="84"/>
      <c r="G10" s="84"/>
      <c r="H10" s="84"/>
      <c r="I10" s="85"/>
    </row>
    <row r="11" spans="2:10">
      <c r="D11" s="84"/>
      <c r="E11" s="84"/>
      <c r="F11" s="84"/>
      <c r="G11" s="84"/>
      <c r="H11" s="84"/>
      <c r="I11" s="85"/>
    </row>
    <row r="12" spans="2:10">
      <c r="D12" s="84"/>
      <c r="E12" s="84"/>
      <c r="F12" s="84"/>
      <c r="G12" s="84"/>
      <c r="H12" s="84"/>
      <c r="I12" s="85"/>
    </row>
    <row r="13" spans="2:10">
      <c r="B13" s="51" t="s">
        <v>1251</v>
      </c>
      <c r="D13" s="84"/>
      <c r="E13" s="84"/>
      <c r="F13" s="84"/>
      <c r="G13" s="84"/>
      <c r="H13" s="84"/>
      <c r="I13" s="85"/>
    </row>
    <row r="14" spans="2:10">
      <c r="B14" s="1584" t="s">
        <v>1248</v>
      </c>
      <c r="C14" s="1585" t="s">
        <v>1249</v>
      </c>
      <c r="D14" s="1586">
        <v>25000000</v>
      </c>
      <c r="E14" s="1587">
        <v>0.19</v>
      </c>
      <c r="F14" s="1588" t="s">
        <v>1250</v>
      </c>
      <c r="G14" s="1589">
        <v>46215</v>
      </c>
      <c r="H14" s="1590">
        <v>45495</v>
      </c>
      <c r="I14" s="85"/>
    </row>
    <row r="15" spans="2:10" ht="15">
      <c r="B15" s="82"/>
      <c r="D15" s="84"/>
      <c r="E15" s="84"/>
      <c r="F15" s="84"/>
      <c r="G15" s="84"/>
      <c r="H15" s="84"/>
      <c r="I15" s="85"/>
    </row>
    <row r="16" spans="2:10">
      <c r="B16" s="83"/>
      <c r="D16" s="84"/>
      <c r="E16" s="84"/>
      <c r="F16" s="84"/>
      <c r="G16" s="84"/>
      <c r="H16" s="84"/>
      <c r="I16" s="85"/>
    </row>
    <row r="17" spans="2:9">
      <c r="B17" s="83"/>
      <c r="D17" s="84"/>
      <c r="E17" s="84"/>
      <c r="F17" s="84"/>
      <c r="G17" s="84"/>
      <c r="H17" s="84"/>
      <c r="I17" s="85"/>
    </row>
    <row r="18" spans="2:9">
      <c r="B18" s="83"/>
      <c r="D18" s="84"/>
      <c r="E18" s="84"/>
      <c r="F18" s="84"/>
      <c r="G18" s="84"/>
      <c r="H18" s="84"/>
      <c r="I18" s="85"/>
    </row>
    <row r="19" spans="2:9">
      <c r="B19" s="83"/>
      <c r="D19" s="84"/>
      <c r="E19" s="84"/>
      <c r="F19" s="84"/>
      <c r="G19" s="84"/>
      <c r="H19" s="84"/>
      <c r="I19" s="85"/>
    </row>
    <row r="20" spans="2:9">
      <c r="B20" s="83"/>
      <c r="D20" s="84"/>
      <c r="E20" s="84"/>
      <c r="F20" s="84"/>
      <c r="G20" s="84"/>
      <c r="H20" s="84"/>
      <c r="I20" s="85"/>
    </row>
    <row r="21" spans="2:9">
      <c r="B21" s="83"/>
      <c r="D21" s="84"/>
      <c r="E21" s="84"/>
      <c r="F21" s="84"/>
      <c r="G21" s="84"/>
      <c r="H21" s="84"/>
      <c r="I21" s="85"/>
    </row>
    <row r="22" spans="2:9">
      <c r="B22" s="83"/>
      <c r="D22" s="84"/>
      <c r="E22" s="84"/>
      <c r="F22" s="84"/>
      <c r="G22" s="84"/>
      <c r="H22" s="84"/>
      <c r="I22" s="85"/>
    </row>
    <row r="23" spans="2:9">
      <c r="B23" s="83"/>
      <c r="D23" s="84"/>
      <c r="E23" s="84"/>
      <c r="F23" s="84"/>
      <c r="G23" s="84"/>
      <c r="H23" s="84"/>
      <c r="I23" s="85"/>
    </row>
    <row r="24" spans="2:9">
      <c r="B24" s="83"/>
      <c r="D24" s="84"/>
      <c r="E24" s="84"/>
      <c r="F24" s="84"/>
      <c r="G24" s="84"/>
      <c r="H24" s="84"/>
      <c r="I24" s="85"/>
    </row>
    <row r="25" spans="2:9">
      <c r="B25" s="83"/>
      <c r="D25" s="84"/>
      <c r="E25" s="84"/>
      <c r="F25" s="84"/>
      <c r="G25" s="84"/>
      <c r="H25" s="84"/>
      <c r="I25" s="85"/>
    </row>
    <row r="26" spans="2:9">
      <c r="B26" s="83"/>
      <c r="D26" s="84"/>
      <c r="E26" s="84"/>
      <c r="F26" s="84"/>
      <c r="G26" s="84"/>
      <c r="H26" s="84"/>
      <c r="I26" s="85"/>
    </row>
    <row r="27" spans="2:9">
      <c r="B27" s="83"/>
      <c r="D27" s="84"/>
      <c r="E27" s="84"/>
      <c r="F27" s="84"/>
      <c r="G27" s="84"/>
      <c r="H27" s="84"/>
      <c r="I27" s="85"/>
    </row>
    <row r="28" spans="2:9">
      <c r="B28" s="83"/>
      <c r="D28" s="84"/>
      <c r="E28" s="84"/>
      <c r="F28" s="84"/>
      <c r="G28" s="84"/>
      <c r="H28" s="84"/>
      <c r="I28" s="85"/>
    </row>
    <row r="29" spans="2:9">
      <c r="B29" s="83"/>
      <c r="D29" s="84"/>
      <c r="E29" s="84"/>
      <c r="F29" s="84"/>
      <c r="G29" s="84"/>
      <c r="H29" s="84"/>
      <c r="I29" s="85"/>
    </row>
    <row r="30" spans="2:9">
      <c r="B30" s="83"/>
      <c r="D30" s="84"/>
      <c r="E30" s="84"/>
      <c r="F30" s="84"/>
      <c r="G30" s="84"/>
      <c r="H30" s="84"/>
      <c r="I30" s="85"/>
    </row>
    <row r="31" spans="2:9">
      <c r="B31" s="83"/>
      <c r="D31" s="84"/>
      <c r="E31" s="84"/>
      <c r="F31" s="84"/>
      <c r="G31" s="84"/>
      <c r="H31" s="84"/>
      <c r="I31" s="85"/>
    </row>
    <row r="32" spans="2:9">
      <c r="B32" s="83"/>
      <c r="D32" s="84"/>
      <c r="E32" s="84"/>
      <c r="F32" s="84"/>
      <c r="G32" s="84"/>
      <c r="H32" s="84"/>
      <c r="I32" s="85"/>
    </row>
    <row r="33" spans="2:9">
      <c r="B33" s="83"/>
      <c r="D33" s="84"/>
      <c r="E33" s="84"/>
      <c r="F33" s="84"/>
      <c r="G33" s="84"/>
      <c r="H33" s="84"/>
      <c r="I33" s="85"/>
    </row>
    <row r="34" spans="2:9">
      <c r="B34" s="83"/>
      <c r="D34" s="84"/>
      <c r="E34" s="84"/>
      <c r="F34" s="84"/>
      <c r="G34" s="84"/>
      <c r="H34" s="84"/>
      <c r="I34" s="85"/>
    </row>
    <row r="35" spans="2:9">
      <c r="B35" s="83"/>
      <c r="D35" s="84"/>
      <c r="E35" s="84"/>
      <c r="F35" s="84"/>
      <c r="G35" s="84"/>
      <c r="H35" s="84"/>
      <c r="I35" s="85"/>
    </row>
    <row r="36" spans="2:9">
      <c r="B36" s="83"/>
      <c r="D36" s="84"/>
      <c r="E36" s="84"/>
      <c r="F36" s="84"/>
      <c r="G36" s="84"/>
      <c r="H36" s="84"/>
      <c r="I36" s="85"/>
    </row>
    <row r="37" spans="2:9">
      <c r="B37" s="83"/>
      <c r="D37" s="84"/>
      <c r="E37" s="84"/>
      <c r="F37" s="84"/>
      <c r="G37" s="84"/>
      <c r="H37" s="84"/>
      <c r="I37" s="85"/>
    </row>
    <row r="38" spans="2:9">
      <c r="B38" s="83"/>
      <c r="D38" s="84"/>
      <c r="E38" s="84"/>
      <c r="F38" s="84"/>
      <c r="G38" s="84"/>
      <c r="H38" s="84"/>
      <c r="I38" s="85"/>
    </row>
    <row r="39" spans="2:9">
      <c r="B39" s="83"/>
      <c r="D39" s="84"/>
      <c r="E39" s="84"/>
      <c r="F39" s="84"/>
      <c r="G39" s="84"/>
      <c r="H39" s="84"/>
      <c r="I39" s="85"/>
    </row>
    <row r="40" spans="2:9">
      <c r="B40" s="83"/>
      <c r="D40" s="84"/>
      <c r="E40" s="84"/>
      <c r="F40" s="84"/>
      <c r="G40" s="84"/>
      <c r="H40" s="84"/>
      <c r="I40" s="85"/>
    </row>
    <row r="41" spans="2:9">
      <c r="B41" s="83"/>
      <c r="D41" s="84"/>
      <c r="E41" s="84"/>
      <c r="F41" s="84"/>
      <c r="G41" s="84"/>
      <c r="H41" s="84"/>
      <c r="I41" s="85"/>
    </row>
    <row r="42" spans="2:9">
      <c r="B42" s="83"/>
      <c r="D42" s="84"/>
      <c r="E42" s="84"/>
    </row>
    <row r="43" spans="2:9">
      <c r="B43" s="83"/>
      <c r="D43" s="84"/>
      <c r="E43" s="84"/>
    </row>
    <row r="44" spans="2:9">
      <c r="B44" s="83"/>
      <c r="D44" s="84"/>
      <c r="E44" s="84"/>
    </row>
    <row r="45" spans="2:9">
      <c r="B45" s="83"/>
      <c r="D45" s="84"/>
      <c r="E45" s="84"/>
    </row>
    <row r="46" spans="2:9">
      <c r="B46" s="83"/>
      <c r="D46" s="84"/>
      <c r="E46" s="84"/>
    </row>
    <row r="47" spans="2:9">
      <c r="B47" s="83"/>
      <c r="D47" s="84"/>
      <c r="E47" s="84"/>
    </row>
    <row r="48" spans="2:9">
      <c r="B48" s="83"/>
      <c r="D48" s="84"/>
      <c r="E48" s="84"/>
    </row>
    <row r="49" spans="2:5">
      <c r="B49" s="83"/>
      <c r="D49" s="84"/>
      <c r="E49" s="84"/>
    </row>
    <row r="50" spans="2:5">
      <c r="B50" s="83"/>
      <c r="D50" s="84"/>
      <c r="E50" s="84"/>
    </row>
    <row r="51" spans="2:5">
      <c r="B51" s="83"/>
      <c r="D51" s="84"/>
      <c r="E51" s="84"/>
    </row>
    <row r="52" spans="2:5">
      <c r="B52" s="83"/>
      <c r="D52" s="84"/>
      <c r="E52" s="84"/>
    </row>
    <row r="53" spans="2:5">
      <c r="B53" s="83"/>
      <c r="D53" s="84"/>
      <c r="E53" s="84"/>
    </row>
    <row r="54" spans="2:5">
      <c r="B54" s="83"/>
      <c r="D54" s="84"/>
      <c r="E54" s="84"/>
    </row>
    <row r="55" spans="2:5">
      <c r="B55" s="83"/>
      <c r="D55" s="84"/>
      <c r="E55" s="84"/>
    </row>
    <row r="56" spans="2:5">
      <c r="B56" s="83"/>
      <c r="D56" s="84"/>
      <c r="E56" s="84"/>
    </row>
    <row r="57" spans="2:5">
      <c r="B57" s="83"/>
      <c r="D57" s="84"/>
      <c r="E57" s="84"/>
    </row>
    <row r="58" spans="2:5">
      <c r="B58" s="83"/>
      <c r="D58" s="84"/>
      <c r="E58" s="84"/>
    </row>
    <row r="59" spans="2:5">
      <c r="B59" s="83"/>
      <c r="D59" s="84"/>
      <c r="E59" s="84"/>
    </row>
    <row r="60" spans="2:5">
      <c r="B60" s="83"/>
      <c r="D60" s="84"/>
      <c r="E60" s="84"/>
    </row>
    <row r="61" spans="2:5">
      <c r="B61" s="83"/>
      <c r="D61" s="84"/>
      <c r="E61" s="84"/>
    </row>
    <row r="62" spans="2:5">
      <c r="B62" s="83"/>
      <c r="D62" s="84"/>
      <c r="E62" s="84"/>
    </row>
    <row r="63" spans="2:5">
      <c r="B63" s="83"/>
      <c r="D63" s="84"/>
      <c r="E63" s="84"/>
    </row>
    <row r="64" spans="2:5">
      <c r="B64" s="83"/>
      <c r="D64" s="84"/>
      <c r="E64" s="84"/>
    </row>
    <row r="65" spans="2:5">
      <c r="B65" s="83"/>
      <c r="D65" s="84"/>
      <c r="E65" s="84"/>
    </row>
  </sheetData>
  <hyperlinks>
    <hyperlink ref="B4" location="'Cover list'!A1" display="&gt;&gt;  Content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22"/>
  <dimension ref="A2:H8"/>
  <sheetViews>
    <sheetView showGridLines="0" zoomScale="90" zoomScaleNormal="90" workbookViewId="0"/>
  </sheetViews>
  <sheetFormatPr defaultColWidth="9" defaultRowHeight="12.75"/>
  <cols>
    <col min="1" max="1" width="5.625" style="4" customWidth="1"/>
    <col min="2" max="2" width="8.75" style="4" bestFit="1" customWidth="1"/>
    <col min="3" max="3" width="9.875" style="4" customWidth="1"/>
    <col min="4" max="4" width="12.375" style="4" customWidth="1"/>
    <col min="5" max="5" width="23.5" style="4" customWidth="1"/>
    <col min="6" max="6" width="10.125" style="4" customWidth="1"/>
    <col min="7" max="7" width="8" style="4" customWidth="1"/>
    <col min="8" max="8" width="15.625" style="4" customWidth="1"/>
    <col min="9" max="9" width="14.375" style="4" customWidth="1"/>
    <col min="10" max="11" width="12.625" style="4" customWidth="1"/>
    <col min="12" max="16384" width="9" style="4"/>
  </cols>
  <sheetData>
    <row r="2" spans="1:8" ht="18.75">
      <c r="B2" s="1370" t="s">
        <v>111</v>
      </c>
    </row>
    <row r="3" spans="1:8">
      <c r="B3" s="86"/>
    </row>
    <row r="4" spans="1:8">
      <c r="B4" s="27" t="s">
        <v>41</v>
      </c>
    </row>
    <row r="5" spans="1:8">
      <c r="B5" s="5"/>
    </row>
    <row r="6" spans="1:8">
      <c r="A6" s="52"/>
      <c r="B6" s="1327" t="s">
        <v>106</v>
      </c>
      <c r="C6" s="87" t="s">
        <v>112</v>
      </c>
      <c r="D6" s="87" t="s">
        <v>113</v>
      </c>
      <c r="E6" s="87" t="s">
        <v>114</v>
      </c>
      <c r="F6" s="87" t="s">
        <v>115</v>
      </c>
      <c r="G6" s="87" t="s">
        <v>116</v>
      </c>
      <c r="H6" s="52"/>
    </row>
    <row r="7" spans="1:8">
      <c r="B7" s="88">
        <v>45450</v>
      </c>
      <c r="C7" s="29" t="s">
        <v>1115</v>
      </c>
      <c r="D7" s="74" t="s">
        <v>148</v>
      </c>
      <c r="E7" s="74" t="s">
        <v>118</v>
      </c>
      <c r="F7" s="89" t="s">
        <v>1218</v>
      </c>
      <c r="G7" s="90" t="s">
        <v>117</v>
      </c>
    </row>
    <row r="8" spans="1:8">
      <c r="B8" s="88">
        <v>45288</v>
      </c>
      <c r="C8" s="29" t="s">
        <v>1220</v>
      </c>
      <c r="D8" s="74" t="s">
        <v>148</v>
      </c>
      <c r="E8" s="74" t="s">
        <v>118</v>
      </c>
      <c r="F8" s="89" t="s">
        <v>1219</v>
      </c>
      <c r="G8" s="90" t="s">
        <v>117</v>
      </c>
    </row>
  </sheetData>
  <hyperlinks>
    <hyperlink ref="B4" location="'Cover list'!A1" display="&gt;&gt;  Content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45">
    <pageSetUpPr fitToPage="1"/>
  </sheetPr>
  <dimension ref="A2:BT110"/>
  <sheetViews>
    <sheetView showGridLines="0" showRuler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.75" outlineLevelCol="1"/>
  <cols>
    <col min="1" max="1" width="5.625" style="4" customWidth="1"/>
    <col min="2" max="2" width="32" style="4" customWidth="1"/>
    <col min="3" max="22" width="9.75" style="4" hidden="1" customWidth="1" outlineLevel="1"/>
    <col min="23" max="36" width="8.75" style="4" hidden="1" customWidth="1" outlineLevel="1"/>
    <col min="37" max="38" width="8.75" style="4" hidden="1" customWidth="1" outlineLevel="1" collapsed="1"/>
    <col min="39" max="39" width="8.75" style="4" hidden="1" customWidth="1" outlineLevel="1"/>
    <col min="40" max="40" width="9.375" style="4" hidden="1" customWidth="1" outlineLevel="1"/>
    <col min="41" max="47" width="8.75" style="4" hidden="1" customWidth="1" outlineLevel="1"/>
    <col min="48" max="48" width="8.75" style="4" customWidth="1" collapsed="1"/>
    <col min="49" max="54" width="8.75" style="4" customWidth="1"/>
    <col min="55" max="57" width="8.75" style="4" hidden="1" customWidth="1" outlineLevel="1"/>
    <col min="58" max="58" width="9" style="4" collapsed="1"/>
    <col min="59" max="16384" width="9" style="4"/>
  </cols>
  <sheetData>
    <row r="2" spans="1:58" ht="18.75">
      <c r="B2" s="1370" t="s">
        <v>194</v>
      </c>
    </row>
    <row r="3" spans="1:58">
      <c r="B3" s="25"/>
    </row>
    <row r="4" spans="1:58">
      <c r="B4" s="27" t="s">
        <v>41</v>
      </c>
    </row>
    <row r="5" spans="1:58" s="1498" customFormat="1">
      <c r="B5" s="1497"/>
      <c r="C5" s="1499"/>
      <c r="D5" s="1499"/>
      <c r="E5" s="1499"/>
      <c r="F5" s="1499"/>
      <c r="L5" s="1500"/>
      <c r="M5" s="1499"/>
      <c r="N5" s="1499"/>
      <c r="O5" s="1499"/>
      <c r="P5" s="1499"/>
      <c r="V5" s="1500"/>
      <c r="W5" s="1499"/>
      <c r="X5" s="1499"/>
      <c r="Y5" s="1499"/>
      <c r="Z5" s="1499"/>
      <c r="AF5" s="1500"/>
      <c r="AG5" s="1499"/>
      <c r="AH5" s="1499"/>
      <c r="AI5" s="1499"/>
      <c r="AJ5" s="1499"/>
      <c r="AQ5" s="1499"/>
      <c r="AR5" s="1499"/>
      <c r="AS5" s="1499"/>
      <c r="AT5" s="1499"/>
      <c r="AV5" s="1499"/>
      <c r="AW5" s="1499"/>
      <c r="AX5" s="1499"/>
      <c r="AY5" s="1499"/>
      <c r="AZ5" s="1499"/>
      <c r="BB5" s="1499"/>
      <c r="BC5" s="1499"/>
      <c r="BD5" s="1499"/>
    </row>
    <row r="6" spans="1:58" s="1360" customFormat="1">
      <c r="B6" s="1361"/>
      <c r="C6" s="1438" t="s">
        <v>140</v>
      </c>
      <c r="D6" s="1439" t="s">
        <v>141</v>
      </c>
      <c r="E6" s="1439" t="s">
        <v>142</v>
      </c>
      <c r="F6" s="1439" t="s">
        <v>143</v>
      </c>
      <c r="G6" s="1436" t="s">
        <v>195</v>
      </c>
      <c r="H6" s="1434" t="s">
        <v>144</v>
      </c>
      <c r="I6" s="1435" t="s">
        <v>147</v>
      </c>
      <c r="J6" s="1435" t="s">
        <v>145</v>
      </c>
      <c r="K6" s="1435" t="s">
        <v>146</v>
      </c>
      <c r="L6" s="1437" t="s">
        <v>200</v>
      </c>
      <c r="M6" s="1438" t="s">
        <v>205</v>
      </c>
      <c r="N6" s="1439" t="s">
        <v>206</v>
      </c>
      <c r="O6" s="1439" t="s">
        <v>207</v>
      </c>
      <c r="P6" s="1439" t="s">
        <v>208</v>
      </c>
      <c r="Q6" s="1436" t="s">
        <v>167</v>
      </c>
      <c r="R6" s="1434" t="s">
        <v>201</v>
      </c>
      <c r="S6" s="1435" t="s">
        <v>202</v>
      </c>
      <c r="T6" s="1435" t="s">
        <v>203</v>
      </c>
      <c r="U6" s="1435" t="s">
        <v>204</v>
      </c>
      <c r="V6" s="1437" t="s">
        <v>164</v>
      </c>
      <c r="W6" s="1438" t="s">
        <v>209</v>
      </c>
      <c r="X6" s="1439" t="s">
        <v>210</v>
      </c>
      <c r="Y6" s="1439" t="s">
        <v>211</v>
      </c>
      <c r="Z6" s="1439" t="s">
        <v>212</v>
      </c>
      <c r="AA6" s="1436" t="s">
        <v>166</v>
      </c>
      <c r="AB6" s="1434" t="s">
        <v>213</v>
      </c>
      <c r="AC6" s="1435" t="s">
        <v>214</v>
      </c>
      <c r="AD6" s="1435" t="s">
        <v>215</v>
      </c>
      <c r="AE6" s="1435" t="s">
        <v>1129</v>
      </c>
      <c r="AF6" s="1437" t="s">
        <v>1130</v>
      </c>
      <c r="AG6" s="1438" t="s">
        <v>1133</v>
      </c>
      <c r="AH6" s="1439" t="s">
        <v>1134</v>
      </c>
      <c r="AI6" s="1439" t="s">
        <v>1137</v>
      </c>
      <c r="AJ6" s="1439" t="s">
        <v>1138</v>
      </c>
      <c r="AK6" s="1436" t="s">
        <v>1139</v>
      </c>
      <c r="AL6" s="1508" t="s">
        <v>1141</v>
      </c>
      <c r="AM6" s="1509" t="s">
        <v>1142</v>
      </c>
      <c r="AN6" s="1509" t="s">
        <v>1160</v>
      </c>
      <c r="AO6" s="1509" t="s">
        <v>1161</v>
      </c>
      <c r="AP6" s="1437" t="s">
        <v>1162</v>
      </c>
      <c r="AQ6" s="1438" t="s">
        <v>1177</v>
      </c>
      <c r="AR6" s="1439" t="s">
        <v>1178</v>
      </c>
      <c r="AS6" s="1439" t="s">
        <v>1181</v>
      </c>
      <c r="AT6" s="1439" t="s">
        <v>1180</v>
      </c>
      <c r="AU6" s="1436" t="s">
        <v>1188</v>
      </c>
      <c r="AV6" s="1508" t="s">
        <v>1191</v>
      </c>
      <c r="AW6" s="1509" t="s">
        <v>1192</v>
      </c>
      <c r="AX6" s="1439" t="s">
        <v>1226</v>
      </c>
      <c r="AY6" s="1509" t="s">
        <v>1193</v>
      </c>
      <c r="AZ6" s="1509" t="s">
        <v>1194</v>
      </c>
      <c r="BA6" s="1437" t="s">
        <v>1195</v>
      </c>
      <c r="BB6" s="1439" t="s">
        <v>1225</v>
      </c>
      <c r="BC6" s="1439" t="s">
        <v>1221</v>
      </c>
      <c r="BD6" s="1439" t="s">
        <v>1222</v>
      </c>
      <c r="BE6" s="1436" t="s">
        <v>1223</v>
      </c>
    </row>
    <row r="7" spans="1:58" s="1360" customFormat="1" ht="13.5" thickBot="1">
      <c r="B7" s="1426" t="s">
        <v>1158</v>
      </c>
      <c r="C7" s="1426"/>
      <c r="D7" s="1426"/>
      <c r="E7" s="1426"/>
      <c r="F7" s="1426"/>
      <c r="G7" s="1426"/>
      <c r="H7" s="1426"/>
      <c r="I7" s="1426"/>
      <c r="J7" s="1426"/>
      <c r="K7" s="1426"/>
      <c r="L7" s="1426"/>
      <c r="M7" s="1426"/>
      <c r="N7" s="1426"/>
      <c r="O7" s="1426"/>
      <c r="P7" s="1426"/>
      <c r="Q7" s="1426"/>
      <c r="R7" s="1426"/>
      <c r="S7" s="1426"/>
      <c r="T7" s="1426"/>
      <c r="U7" s="1426"/>
      <c r="V7" s="1426"/>
      <c r="W7" s="1426"/>
      <c r="X7" s="1426"/>
      <c r="Y7" s="1426"/>
      <c r="Z7" s="1426"/>
      <c r="AA7" s="1426"/>
      <c r="AB7" s="1426"/>
      <c r="AC7" s="1426"/>
      <c r="AD7" s="1426"/>
      <c r="AE7" s="1426"/>
      <c r="AF7" s="1426"/>
      <c r="AG7" s="1426"/>
      <c r="AH7" s="1426"/>
      <c r="AI7" s="1426"/>
      <c r="AJ7" s="1426"/>
      <c r="AK7" s="1426"/>
      <c r="AL7" s="1426"/>
      <c r="AM7" s="1426"/>
      <c r="AN7" s="1426"/>
      <c r="AO7" s="1426"/>
      <c r="AP7" s="1426"/>
      <c r="AQ7" s="1426"/>
      <c r="AR7" s="1426"/>
      <c r="AS7" s="1426"/>
      <c r="AT7" s="1426"/>
      <c r="AU7" s="1426"/>
      <c r="AV7" s="1426"/>
      <c r="AW7" s="1426"/>
      <c r="AX7" s="1426"/>
      <c r="AY7" s="1426"/>
      <c r="AZ7" s="1426"/>
      <c r="BA7" s="1426"/>
      <c r="BB7" s="1426"/>
      <c r="BC7" s="1426"/>
      <c r="BD7" s="1426"/>
      <c r="BE7" s="1426"/>
    </row>
    <row r="8" spans="1:58" s="43" customFormat="1">
      <c r="B8" s="42" t="s">
        <v>150</v>
      </c>
      <c r="C8" s="42">
        <v>163951.82999999999</v>
      </c>
      <c r="D8" s="42">
        <v>184951.91</v>
      </c>
      <c r="E8" s="42">
        <v>193384.54</v>
      </c>
      <c r="F8" s="42">
        <v>220433.04</v>
      </c>
      <c r="G8" s="1412">
        <v>762721.31</v>
      </c>
      <c r="H8" s="42">
        <v>218231.77</v>
      </c>
      <c r="I8" s="42">
        <v>235466.29</v>
      </c>
      <c r="J8" s="42">
        <v>234950.17</v>
      </c>
      <c r="K8" s="42">
        <v>259152.77</v>
      </c>
      <c r="L8" s="1412">
        <v>947800.99</v>
      </c>
      <c r="M8" s="42">
        <v>254435</v>
      </c>
      <c r="N8" s="42">
        <v>265023.8</v>
      </c>
      <c r="O8" s="42">
        <v>267282.34000000003</v>
      </c>
      <c r="P8" s="42">
        <v>282464.71000000002</v>
      </c>
      <c r="Q8" s="1412">
        <v>1069205.8500000001</v>
      </c>
      <c r="R8" s="42">
        <v>264571.32</v>
      </c>
      <c r="S8" s="42">
        <v>284669.92</v>
      </c>
      <c r="T8" s="42">
        <v>282677.99</v>
      </c>
      <c r="U8" s="42">
        <v>299193.88</v>
      </c>
      <c r="V8" s="1412">
        <v>1131113.1000000001</v>
      </c>
      <c r="W8" s="42">
        <v>284927.15999999997</v>
      </c>
      <c r="X8" s="42">
        <v>299818</v>
      </c>
      <c r="Y8" s="42">
        <v>305249</v>
      </c>
      <c r="Z8" s="42">
        <v>326857</v>
      </c>
      <c r="AA8" s="1412">
        <v>1216851</v>
      </c>
      <c r="AB8" s="42">
        <v>310159</v>
      </c>
      <c r="AC8" s="42">
        <v>332853</v>
      </c>
      <c r="AD8" s="42">
        <v>332965</v>
      </c>
      <c r="AE8" s="42">
        <v>356953</v>
      </c>
      <c r="AF8" s="1412">
        <v>1332929</v>
      </c>
      <c r="AG8" s="42">
        <v>364784</v>
      </c>
      <c r="AH8" s="42">
        <v>379174</v>
      </c>
      <c r="AI8" s="42">
        <v>370952</v>
      </c>
      <c r="AJ8" s="42">
        <v>395160</v>
      </c>
      <c r="AK8" s="1412">
        <v>1510071</v>
      </c>
      <c r="AL8" s="42">
        <v>387899</v>
      </c>
      <c r="AM8" s="42">
        <v>413693</v>
      </c>
      <c r="AN8" s="42">
        <v>475452</v>
      </c>
      <c r="AO8" s="42">
        <v>530708</v>
      </c>
      <c r="AP8" s="1412">
        <v>1807752</v>
      </c>
      <c r="AQ8" s="42">
        <v>534824</v>
      </c>
      <c r="AR8" s="42">
        <v>579022</v>
      </c>
      <c r="AS8" s="42">
        <v>582888</v>
      </c>
      <c r="AT8" s="42">
        <v>602977</v>
      </c>
      <c r="AU8" s="1412">
        <v>2299712</v>
      </c>
      <c r="AV8" s="42">
        <v>583212</v>
      </c>
      <c r="AW8" s="42">
        <v>620477</v>
      </c>
      <c r="AX8" s="42">
        <v>1203688</v>
      </c>
      <c r="AY8" s="42">
        <v>623893</v>
      </c>
      <c r="AZ8" s="42">
        <v>681726</v>
      </c>
      <c r="BA8" s="1412">
        <v>2509308</v>
      </c>
      <c r="BB8" s="42">
        <v>1448541</v>
      </c>
      <c r="BC8" s="42"/>
      <c r="BD8" s="42"/>
      <c r="BE8" s="1412"/>
    </row>
    <row r="9" spans="1:58">
      <c r="B9" s="91" t="s">
        <v>1231</v>
      </c>
      <c r="C9" s="4">
        <v>126020.31</v>
      </c>
      <c r="D9" s="4">
        <v>140961.74</v>
      </c>
      <c r="E9" s="4">
        <v>147390.87</v>
      </c>
      <c r="F9" s="4">
        <v>163402.85</v>
      </c>
      <c r="G9" s="1414">
        <v>577775.77</v>
      </c>
      <c r="H9" s="4">
        <v>162596.12</v>
      </c>
      <c r="I9" s="4">
        <v>175837.64</v>
      </c>
      <c r="J9" s="4">
        <v>173911.85</v>
      </c>
      <c r="K9" s="4">
        <v>188929.35</v>
      </c>
      <c r="L9" s="1414">
        <v>701274.95</v>
      </c>
      <c r="M9" s="4">
        <v>187509.74</v>
      </c>
      <c r="N9" s="4">
        <v>197517.7</v>
      </c>
      <c r="O9" s="4">
        <v>197689.55</v>
      </c>
      <c r="P9" s="4">
        <v>207440.08</v>
      </c>
      <c r="Q9" s="1414">
        <v>790157.07</v>
      </c>
      <c r="R9" s="4">
        <v>197282.06</v>
      </c>
      <c r="S9" s="4">
        <v>214534.75</v>
      </c>
      <c r="T9" s="4">
        <v>211976.66</v>
      </c>
      <c r="U9" s="4">
        <v>222319.51</v>
      </c>
      <c r="V9" s="1414">
        <v>846112.98</v>
      </c>
      <c r="W9" s="4">
        <v>215300.46</v>
      </c>
      <c r="X9" s="4">
        <v>228348</v>
      </c>
      <c r="Y9" s="4">
        <v>229682</v>
      </c>
      <c r="Z9" s="4">
        <v>244523</v>
      </c>
      <c r="AA9" s="1414">
        <v>917853</v>
      </c>
      <c r="AB9" s="4">
        <v>237475</v>
      </c>
      <c r="AC9" s="4">
        <v>258302</v>
      </c>
      <c r="AD9" s="4">
        <v>254239</v>
      </c>
      <c r="AE9" s="4">
        <v>270384</v>
      </c>
      <c r="AF9" s="1414">
        <v>1020400</v>
      </c>
      <c r="AG9" s="4">
        <v>279795</v>
      </c>
      <c r="AH9" s="4">
        <v>295796</v>
      </c>
      <c r="AI9" s="4">
        <v>284552</v>
      </c>
      <c r="AJ9" s="4">
        <v>301153</v>
      </c>
      <c r="AK9" s="1414">
        <v>1161295</v>
      </c>
      <c r="AL9" s="4">
        <v>299942</v>
      </c>
      <c r="AM9" s="4">
        <v>324476</v>
      </c>
      <c r="AN9" s="71">
        <v>329563</v>
      </c>
      <c r="AO9" s="71">
        <v>355702</v>
      </c>
      <c r="AP9" s="1424">
        <v>1309682</v>
      </c>
      <c r="AQ9" s="4">
        <v>358232</v>
      </c>
      <c r="AR9" s="4">
        <v>396613</v>
      </c>
      <c r="AS9" s="4">
        <v>400918</v>
      </c>
      <c r="AT9" s="4">
        <v>414053</v>
      </c>
      <c r="AU9" s="1414">
        <v>1569816</v>
      </c>
      <c r="AV9" s="4">
        <v>406429</v>
      </c>
      <c r="AW9" s="4">
        <v>436554</v>
      </c>
      <c r="AX9" s="4">
        <v>842983</v>
      </c>
      <c r="AY9" s="4">
        <v>437820</v>
      </c>
      <c r="AZ9" s="4">
        <v>477006</v>
      </c>
      <c r="BA9" s="1414">
        <v>1757809</v>
      </c>
      <c r="BB9" s="4">
        <v>995681</v>
      </c>
      <c r="BE9" s="1414"/>
      <c r="BF9" s="43"/>
    </row>
    <row r="10" spans="1:58">
      <c r="B10" s="91" t="s">
        <v>1233</v>
      </c>
      <c r="C10" s="1396"/>
      <c r="D10" s="1396"/>
      <c r="E10" s="1396"/>
      <c r="F10" s="1396"/>
      <c r="G10" s="1415"/>
      <c r="H10" s="1428"/>
      <c r="I10" s="1428"/>
      <c r="J10" s="1428"/>
      <c r="K10" s="1428"/>
      <c r="L10" s="1429"/>
      <c r="M10" s="1396"/>
      <c r="N10" s="1396"/>
      <c r="O10" s="1396"/>
      <c r="P10" s="1396"/>
      <c r="Q10" s="1415"/>
      <c r="R10" s="1428"/>
      <c r="S10" s="1428"/>
      <c r="T10" s="1428"/>
      <c r="U10" s="1428"/>
      <c r="V10" s="1429"/>
      <c r="W10" s="1396"/>
      <c r="X10" s="1396"/>
      <c r="Y10" s="1396"/>
      <c r="Z10" s="1396"/>
      <c r="AA10" s="1415"/>
      <c r="AB10" s="1396"/>
      <c r="AC10" s="1396"/>
      <c r="AD10" s="1396"/>
      <c r="AE10" s="1396"/>
      <c r="AF10" s="1415"/>
      <c r="AG10" s="1492" t="s">
        <v>100</v>
      </c>
      <c r="AH10" s="1492" t="s">
        <v>100</v>
      </c>
      <c r="AI10" s="1492" t="s">
        <v>100</v>
      </c>
      <c r="AJ10" s="1492" t="s">
        <v>100</v>
      </c>
      <c r="AK10" s="1507" t="s">
        <v>100</v>
      </c>
      <c r="AL10" s="1492" t="s">
        <v>100</v>
      </c>
      <c r="AM10" s="1492" t="s">
        <v>100</v>
      </c>
      <c r="AN10" s="48">
        <v>50495</v>
      </c>
      <c r="AO10" s="49">
        <v>70057</v>
      </c>
      <c r="AP10" s="1510">
        <v>120552</v>
      </c>
      <c r="AQ10" s="1514">
        <v>70525</v>
      </c>
      <c r="AR10" s="1524">
        <v>75881</v>
      </c>
      <c r="AS10" s="1524">
        <v>69690</v>
      </c>
      <c r="AT10" s="1514">
        <v>68833</v>
      </c>
      <c r="AU10" s="1530">
        <v>284928</v>
      </c>
      <c r="AV10" s="1514">
        <v>66643</v>
      </c>
      <c r="AW10" s="1524">
        <v>71542</v>
      </c>
      <c r="AX10" s="1524">
        <v>138185</v>
      </c>
      <c r="AY10" s="1524">
        <v>69610</v>
      </c>
      <c r="AZ10" s="1514">
        <v>75786</v>
      </c>
      <c r="BA10" s="1530">
        <v>283581</v>
      </c>
      <c r="BB10" s="1524">
        <v>158080</v>
      </c>
      <c r="BC10" s="1524"/>
      <c r="BD10" s="1514"/>
      <c r="BE10" s="1530"/>
      <c r="BF10" s="43"/>
    </row>
    <row r="11" spans="1:58">
      <c r="B11" s="91" t="s">
        <v>1232</v>
      </c>
      <c r="C11" s="4">
        <v>34043.379999999997</v>
      </c>
      <c r="D11" s="4">
        <v>40046.629999999997</v>
      </c>
      <c r="E11" s="4">
        <v>40770.43</v>
      </c>
      <c r="F11" s="4">
        <v>50328.42</v>
      </c>
      <c r="G11" s="1414">
        <v>165188.85999999999</v>
      </c>
      <c r="H11" s="4">
        <v>48332.65</v>
      </c>
      <c r="I11" s="4">
        <v>51375.3</v>
      </c>
      <c r="J11" s="4">
        <v>49876.41</v>
      </c>
      <c r="K11" s="4">
        <v>56819.62</v>
      </c>
      <c r="L11" s="1414">
        <v>206403.98</v>
      </c>
      <c r="M11" s="4">
        <v>52987.98</v>
      </c>
      <c r="N11" s="4">
        <v>53461.46</v>
      </c>
      <c r="O11" s="4">
        <v>52593.81</v>
      </c>
      <c r="P11" s="4">
        <v>55556.1</v>
      </c>
      <c r="Q11" s="1414">
        <v>214599.35</v>
      </c>
      <c r="R11" s="4">
        <v>48654.82</v>
      </c>
      <c r="S11" s="4">
        <v>51809.58</v>
      </c>
      <c r="T11" s="4">
        <v>50705.74</v>
      </c>
      <c r="U11" s="4">
        <v>55044.17</v>
      </c>
      <c r="V11" s="1414">
        <v>206214.31</v>
      </c>
      <c r="W11" s="4">
        <v>48551.28</v>
      </c>
      <c r="X11" s="4">
        <v>50515</v>
      </c>
      <c r="Y11" s="4">
        <v>52142</v>
      </c>
      <c r="Z11" s="4">
        <v>56226</v>
      </c>
      <c r="AA11" s="1414">
        <v>207434</v>
      </c>
      <c r="AB11" s="4">
        <v>47752</v>
      </c>
      <c r="AC11" s="4">
        <v>49247</v>
      </c>
      <c r="AD11" s="4">
        <v>49263</v>
      </c>
      <c r="AE11" s="4">
        <v>53834</v>
      </c>
      <c r="AF11" s="1414">
        <v>200096</v>
      </c>
      <c r="AG11" s="4">
        <v>50963</v>
      </c>
      <c r="AH11" s="4">
        <v>49992</v>
      </c>
      <c r="AI11" s="4">
        <v>48663</v>
      </c>
      <c r="AJ11" s="4">
        <v>53923</v>
      </c>
      <c r="AK11" s="1414">
        <v>203541</v>
      </c>
      <c r="AL11" s="4">
        <v>50115</v>
      </c>
      <c r="AM11" s="4">
        <v>51513</v>
      </c>
      <c r="AN11" s="71">
        <v>50559</v>
      </c>
      <c r="AO11" s="71">
        <v>56129</v>
      </c>
      <c r="AP11" s="1424">
        <v>208316</v>
      </c>
      <c r="AQ11" s="4">
        <v>53751</v>
      </c>
      <c r="AR11" s="4">
        <v>56343</v>
      </c>
      <c r="AS11" s="4">
        <v>58486</v>
      </c>
      <c r="AT11" s="4">
        <v>65134</v>
      </c>
      <c r="AU11" s="1414">
        <v>233715</v>
      </c>
      <c r="AV11" s="4">
        <v>59932</v>
      </c>
      <c r="AW11" s="4">
        <v>61707</v>
      </c>
      <c r="AX11" s="4">
        <v>121639</v>
      </c>
      <c r="AY11" s="4">
        <v>61724</v>
      </c>
      <c r="AZ11" s="4">
        <v>69404</v>
      </c>
      <c r="BA11" s="1414">
        <v>252767</v>
      </c>
      <c r="BB11" s="4">
        <v>127939</v>
      </c>
      <c r="BE11" s="1414"/>
      <c r="BF11" s="43"/>
    </row>
    <row r="12" spans="1:58">
      <c r="B12" s="92" t="s">
        <v>198</v>
      </c>
      <c r="C12" s="4">
        <v>3888.13</v>
      </c>
      <c r="D12" s="4">
        <v>3943.55</v>
      </c>
      <c r="E12" s="4">
        <v>5223.24</v>
      </c>
      <c r="F12" s="4">
        <v>6701.76</v>
      </c>
      <c r="G12" s="1414">
        <v>19756.68</v>
      </c>
      <c r="H12" s="4">
        <v>7303</v>
      </c>
      <c r="I12" s="4">
        <v>8253.35</v>
      </c>
      <c r="J12" s="4">
        <v>11161.91</v>
      </c>
      <c r="K12" s="4">
        <v>13403.8</v>
      </c>
      <c r="L12" s="1414">
        <v>40122.06</v>
      </c>
      <c r="M12" s="4">
        <v>13937.28</v>
      </c>
      <c r="N12" s="4">
        <v>14044.64</v>
      </c>
      <c r="O12" s="4">
        <v>16998.98</v>
      </c>
      <c r="P12" s="4">
        <v>19468.53</v>
      </c>
      <c r="Q12" s="1414">
        <v>64449.43</v>
      </c>
      <c r="R12" s="4">
        <v>18634.439999999999</v>
      </c>
      <c r="S12" s="4">
        <v>18325.59</v>
      </c>
      <c r="T12" s="4">
        <v>19981.330000000002</v>
      </c>
      <c r="U12" s="4">
        <v>21788.35</v>
      </c>
      <c r="V12" s="1414">
        <v>78729.710000000006</v>
      </c>
      <c r="W12" s="4">
        <v>20941.849999999999</v>
      </c>
      <c r="X12" s="4">
        <v>20829</v>
      </c>
      <c r="Y12" s="4">
        <v>23276</v>
      </c>
      <c r="Z12" s="4">
        <v>25951</v>
      </c>
      <c r="AA12" s="1414">
        <v>90998</v>
      </c>
      <c r="AB12" s="4">
        <v>24730</v>
      </c>
      <c r="AC12" s="4">
        <v>25029</v>
      </c>
      <c r="AD12" s="4">
        <v>28719</v>
      </c>
      <c r="AE12" s="4">
        <v>31193</v>
      </c>
      <c r="AF12" s="1414">
        <v>109670</v>
      </c>
      <c r="AG12" s="4">
        <v>31406</v>
      </c>
      <c r="AH12" s="4">
        <v>30876</v>
      </c>
      <c r="AI12" s="4">
        <v>34993</v>
      </c>
      <c r="AJ12" s="4">
        <v>36997</v>
      </c>
      <c r="AK12" s="1414">
        <v>134272</v>
      </c>
      <c r="AL12" s="4">
        <v>35011</v>
      </c>
      <c r="AM12" s="4">
        <v>35240</v>
      </c>
      <c r="AN12" s="71">
        <v>39646</v>
      </c>
      <c r="AO12" s="71">
        <v>42317</v>
      </c>
      <c r="AP12" s="1424">
        <v>152215</v>
      </c>
      <c r="AQ12" s="4">
        <v>45927</v>
      </c>
      <c r="AR12" s="4">
        <v>44184</v>
      </c>
      <c r="AS12" s="4">
        <v>50740</v>
      </c>
      <c r="AT12" s="4">
        <v>51694</v>
      </c>
      <c r="AU12" s="1414">
        <v>192546</v>
      </c>
      <c r="AV12" s="4">
        <v>46971</v>
      </c>
      <c r="AW12" s="4">
        <v>47651</v>
      </c>
      <c r="AX12" s="4">
        <v>94623</v>
      </c>
      <c r="AY12" s="4">
        <v>51299</v>
      </c>
      <c r="AZ12" s="4">
        <v>54807</v>
      </c>
      <c r="BA12" s="1414">
        <v>200729</v>
      </c>
      <c r="BB12" s="4">
        <v>108865</v>
      </c>
      <c r="BE12" s="1414"/>
      <c r="BF12" s="43"/>
    </row>
    <row r="13" spans="1:58">
      <c r="B13" s="1407"/>
      <c r="T13" s="1430"/>
      <c r="U13" s="1430"/>
      <c r="V13" s="1430"/>
      <c r="W13" s="1430"/>
      <c r="X13" s="1430"/>
      <c r="Y13" s="1430"/>
      <c r="Z13" s="1430"/>
      <c r="AA13" s="1430"/>
      <c r="AB13" s="1430"/>
      <c r="AC13" s="1430"/>
      <c r="AF13" s="1430"/>
    </row>
    <row r="14" spans="1:58">
      <c r="B14" s="1407"/>
      <c r="T14" s="1430"/>
      <c r="U14" s="1430"/>
      <c r="V14" s="1430"/>
      <c r="W14" s="1430"/>
      <c r="X14" s="1430"/>
      <c r="Y14" s="1430"/>
      <c r="Z14" s="1430"/>
      <c r="AA14" s="1430"/>
      <c r="AB14" s="1430"/>
      <c r="AC14" s="1430"/>
      <c r="AF14" s="1430"/>
    </row>
    <row r="15" spans="1:58" s="1360" customFormat="1" ht="13.5" thickBot="1">
      <c r="B15" s="1426" t="s">
        <v>1157</v>
      </c>
      <c r="C15" s="1426"/>
      <c r="D15" s="1426"/>
      <c r="E15" s="1426"/>
      <c r="F15" s="1426"/>
      <c r="G15" s="1426"/>
      <c r="H15" s="1426"/>
      <c r="I15" s="1426"/>
      <c r="J15" s="1426"/>
      <c r="K15" s="1426"/>
      <c r="L15" s="1426"/>
      <c r="M15" s="1426"/>
      <c r="N15" s="1426"/>
      <c r="O15" s="1426"/>
      <c r="P15" s="1426"/>
      <c r="Q15" s="1426"/>
      <c r="R15" s="1426"/>
      <c r="S15" s="1426"/>
      <c r="T15" s="1426"/>
      <c r="U15" s="1426"/>
      <c r="V15" s="1426"/>
      <c r="W15" s="1426"/>
      <c r="X15" s="1426"/>
      <c r="Y15" s="1426"/>
      <c r="Z15" s="1426"/>
      <c r="AA15" s="1426"/>
      <c r="AB15" s="1426"/>
      <c r="AC15" s="1426"/>
      <c r="AD15" s="1426"/>
      <c r="AE15" s="1426"/>
      <c r="AF15" s="1426"/>
      <c r="AG15" s="1426"/>
      <c r="AH15" s="1426"/>
      <c r="AI15" s="1426"/>
      <c r="AJ15" s="1426"/>
      <c r="AK15" s="1426"/>
      <c r="AL15" s="1426"/>
      <c r="AM15" s="1426"/>
      <c r="AN15" s="1426"/>
      <c r="AO15" s="1426"/>
      <c r="AP15" s="1426"/>
      <c r="AQ15" s="1426"/>
      <c r="AR15" s="1426"/>
      <c r="AS15" s="1426"/>
      <c r="AT15" s="1426"/>
      <c r="AU15" s="1426"/>
      <c r="AV15" s="1426"/>
      <c r="AW15" s="1426"/>
      <c r="AX15" s="1426"/>
      <c r="AY15" s="1426"/>
      <c r="AZ15" s="1426"/>
      <c r="BA15" s="1426"/>
      <c r="BB15" s="1426"/>
      <c r="BC15" s="1426"/>
      <c r="BD15" s="1426"/>
      <c r="BE15" s="1426"/>
    </row>
    <row r="16" spans="1:58" s="1431" customFormat="1">
      <c r="A16" s="1440"/>
      <c r="B16" s="1408" t="s">
        <v>154</v>
      </c>
      <c r="C16" s="1440"/>
      <c r="D16" s="1440"/>
      <c r="E16" s="1440"/>
      <c r="F16" s="1440"/>
      <c r="G16" s="1440"/>
      <c r="H16" s="1440"/>
      <c r="I16" s="1440"/>
      <c r="J16" s="1440"/>
      <c r="K16" s="1440"/>
      <c r="L16" s="1440"/>
      <c r="M16" s="1440"/>
      <c r="N16" s="1440"/>
      <c r="O16" s="1440"/>
      <c r="P16" s="1440"/>
      <c r="Q16" s="1440"/>
      <c r="R16" s="1440"/>
      <c r="S16" s="1440"/>
      <c r="T16" s="1440"/>
      <c r="U16" s="1440"/>
      <c r="V16" s="1440"/>
      <c r="W16" s="1440"/>
      <c r="X16" s="1440"/>
      <c r="Y16" s="1440"/>
      <c r="Z16" s="1440"/>
      <c r="AA16" s="1440"/>
      <c r="AB16" s="1440"/>
      <c r="AC16" s="1440"/>
      <c r="AD16" s="1440"/>
      <c r="AE16" s="1440"/>
      <c r="AF16" s="1440"/>
    </row>
    <row r="17" spans="1:58" s="1431" customFormat="1">
      <c r="A17" s="1440"/>
      <c r="B17" s="1408" t="s">
        <v>1187</v>
      </c>
      <c r="C17" s="1440"/>
      <c r="D17" s="1440"/>
      <c r="E17" s="1440"/>
      <c r="F17" s="1440"/>
      <c r="G17" s="1440"/>
      <c r="H17" s="1440"/>
      <c r="I17" s="1440"/>
      <c r="J17" s="1440"/>
      <c r="K17" s="1440"/>
      <c r="L17" s="1440"/>
      <c r="M17" s="1440"/>
      <c r="N17" s="1440"/>
      <c r="O17" s="1440"/>
      <c r="P17" s="1440"/>
      <c r="Q17" s="1440"/>
      <c r="R17" s="1440"/>
      <c r="S17" s="1440"/>
      <c r="T17" s="1440"/>
      <c r="U17" s="1440"/>
      <c r="V17" s="1440"/>
      <c r="W17" s="1440"/>
      <c r="X17" s="1440"/>
      <c r="Y17" s="1440"/>
      <c r="Z17" s="1440"/>
      <c r="AA17" s="1440"/>
      <c r="AB17" s="1440"/>
      <c r="AC17" s="1440"/>
      <c r="AD17" s="1440"/>
      <c r="AE17" s="1440"/>
      <c r="AF17" s="1440"/>
    </row>
    <row r="18" spans="1:58" s="1431" customFormat="1">
      <c r="A18" s="1440"/>
      <c r="B18" s="1334" t="s">
        <v>153</v>
      </c>
      <c r="C18" s="1440"/>
      <c r="D18" s="1440"/>
      <c r="E18" s="1440"/>
      <c r="F18" s="1440"/>
      <c r="G18" s="1440"/>
      <c r="H18" s="1440"/>
      <c r="I18" s="1440"/>
      <c r="J18" s="1440"/>
      <c r="K18" s="1440"/>
      <c r="L18" s="1440"/>
      <c r="M18" s="1440"/>
      <c r="N18" s="1440"/>
      <c r="O18" s="1440"/>
      <c r="P18" s="1440"/>
      <c r="Q18" s="1440"/>
      <c r="R18" s="1440"/>
      <c r="S18" s="1440"/>
      <c r="T18" s="1440"/>
      <c r="U18" s="1440"/>
      <c r="V18" s="1440"/>
      <c r="W18" s="1440"/>
      <c r="X18" s="1440"/>
      <c r="Y18" s="1440"/>
      <c r="Z18" s="1440"/>
      <c r="AA18" s="1440"/>
      <c r="AB18" s="1440"/>
      <c r="AC18" s="1440"/>
      <c r="AD18" s="1440"/>
      <c r="AE18" s="1440"/>
      <c r="AF18" s="1440"/>
      <c r="AG18" s="1431">
        <v>3.6999999999999998E-2</v>
      </c>
      <c r="AH18" s="1431">
        <v>0.247</v>
      </c>
      <c r="AI18" s="1431">
        <v>0.124</v>
      </c>
      <c r="AJ18" s="1431">
        <v>0.16300000000000001</v>
      </c>
      <c r="AK18" s="1431">
        <v>0.14099999999999999</v>
      </c>
      <c r="AL18" s="1431">
        <v>0.14899999999999999</v>
      </c>
      <c r="AM18" s="1431">
        <v>-4.3999999999999997E-2</v>
      </c>
      <c r="AN18" s="1431">
        <v>8.3000000000000004E-2</v>
      </c>
      <c r="AO18" s="1431">
        <v>0.107</v>
      </c>
      <c r="AP18" s="1431">
        <v>7.0999999999999994E-2</v>
      </c>
      <c r="AQ18" s="1431">
        <v>0.111</v>
      </c>
      <c r="AR18" s="1431">
        <v>0.15</v>
      </c>
      <c r="AS18" s="1431">
        <v>0.11</v>
      </c>
      <c r="AT18" s="1431">
        <v>5.3999999999999999E-2</v>
      </c>
      <c r="AU18" s="1423">
        <v>0.10299999999999999</v>
      </c>
      <c r="AV18" s="1431">
        <v>4.3999999999999997E-2</v>
      </c>
      <c r="AW18" s="1431">
        <v>0.02</v>
      </c>
      <c r="AX18" s="1431">
        <v>3.2000000000000001E-2</v>
      </c>
      <c r="AY18" s="1431">
        <v>3.7999999999999999E-2</v>
      </c>
      <c r="AZ18" s="1431">
        <v>0.09</v>
      </c>
      <c r="BA18" s="1423">
        <v>4.8000000000000001E-2</v>
      </c>
      <c r="BB18" s="1431">
        <v>9.9000000000000005E-2</v>
      </c>
    </row>
    <row r="19" spans="1:58" s="1431" customFormat="1">
      <c r="A19" s="1440"/>
      <c r="B19" s="1334" t="s">
        <v>151</v>
      </c>
      <c r="C19" s="1440"/>
      <c r="D19" s="1440"/>
      <c r="E19" s="1440"/>
      <c r="F19" s="1440"/>
      <c r="G19" s="1440"/>
      <c r="H19" s="1440"/>
      <c r="I19" s="1440"/>
      <c r="J19" s="1440"/>
      <c r="K19" s="1440"/>
      <c r="L19" s="1440"/>
      <c r="M19" s="1440"/>
      <c r="N19" s="1440"/>
      <c r="O19" s="1440"/>
      <c r="P19" s="1440"/>
      <c r="Q19" s="1440"/>
      <c r="R19" s="1440"/>
      <c r="S19" s="1440"/>
      <c r="T19" s="1440"/>
      <c r="U19" s="1440"/>
      <c r="V19" s="1440"/>
      <c r="W19" s="1440"/>
      <c r="X19" s="1440"/>
      <c r="Y19" s="1440"/>
      <c r="Z19" s="1440"/>
      <c r="AA19" s="1440"/>
      <c r="AB19" s="1440"/>
      <c r="AC19" s="1440"/>
      <c r="AD19" s="1440"/>
      <c r="AE19" s="1440"/>
      <c r="AF19" s="1440"/>
      <c r="AG19" s="1431">
        <v>0.04</v>
      </c>
      <c r="AH19" s="1431">
        <v>-0.14000000000000001</v>
      </c>
      <c r="AI19" s="1431">
        <v>-4.9000000000000002E-2</v>
      </c>
      <c r="AJ19" s="1431">
        <v>-7.5999999999999998E-2</v>
      </c>
      <c r="AK19" s="1431">
        <v>-5.8999999999999997E-2</v>
      </c>
      <c r="AL19" s="1431">
        <v>-9.4E-2</v>
      </c>
      <c r="AM19" s="1431">
        <v>0.1</v>
      </c>
      <c r="AN19" s="1431">
        <v>3.0000000000000001E-3</v>
      </c>
      <c r="AO19" s="1431">
        <v>-7.0000000000000001E-3</v>
      </c>
      <c r="AP19" s="1431">
        <v>-1E-3</v>
      </c>
      <c r="AQ19" s="1431">
        <v>8.0000000000000002E-3</v>
      </c>
      <c r="AR19" s="1431">
        <v>-1.6E-2</v>
      </c>
      <c r="AS19" s="1431">
        <v>2.5000000000000001E-2</v>
      </c>
      <c r="AT19" s="1431">
        <v>4.2999999999999997E-2</v>
      </c>
      <c r="AU19" s="1423">
        <v>1.6E-2</v>
      </c>
      <c r="AV19" s="1431">
        <v>1.6E-2</v>
      </c>
      <c r="AW19" s="1431">
        <v>2.5999999999999999E-2</v>
      </c>
      <c r="AX19" s="1431">
        <v>2.1999999999999999E-2</v>
      </c>
      <c r="AY19" s="1431">
        <v>-6.0000000000000001E-3</v>
      </c>
      <c r="AZ19" s="1431">
        <v>-0.01</v>
      </c>
      <c r="BA19" s="1423">
        <v>6.0000000000000001E-3</v>
      </c>
      <c r="BB19" s="1431">
        <v>7.0000000000000001E-3</v>
      </c>
    </row>
    <row r="20" spans="1:58" s="1431" customFormat="1">
      <c r="A20" s="1440"/>
      <c r="B20" s="1334" t="s">
        <v>152</v>
      </c>
      <c r="C20" s="1440"/>
      <c r="D20" s="1440"/>
      <c r="E20" s="1440"/>
      <c r="F20" s="1440"/>
      <c r="G20" s="1440"/>
      <c r="H20" s="1440"/>
      <c r="I20" s="1440"/>
      <c r="J20" s="1440"/>
      <c r="K20" s="1440"/>
      <c r="L20" s="1440"/>
      <c r="M20" s="1440"/>
      <c r="N20" s="1440"/>
      <c r="O20" s="1440"/>
      <c r="P20" s="1440"/>
      <c r="Q20" s="1440"/>
      <c r="R20" s="1440"/>
      <c r="S20" s="1440"/>
      <c r="T20" s="1440"/>
      <c r="U20" s="1440"/>
      <c r="V20" s="1440"/>
      <c r="W20" s="1440"/>
      <c r="X20" s="1440"/>
      <c r="Y20" s="1440"/>
      <c r="Z20" s="1440"/>
      <c r="AA20" s="1440"/>
      <c r="AB20" s="1440"/>
      <c r="AC20" s="1440"/>
      <c r="AD20" s="1440"/>
      <c r="AE20" s="1440"/>
      <c r="AF20" s="1440"/>
      <c r="AG20" s="1431">
        <v>7.8E-2</v>
      </c>
      <c r="AH20" s="1431">
        <v>7.1999999999999995E-2</v>
      </c>
      <c r="AI20" s="1431">
        <v>6.9000000000000006E-2</v>
      </c>
      <c r="AJ20" s="1431">
        <v>7.4999999999999997E-2</v>
      </c>
      <c r="AK20" s="1431">
        <v>7.3999999999999996E-2</v>
      </c>
      <c r="AL20" s="1431">
        <v>4.1000000000000002E-2</v>
      </c>
      <c r="AM20" s="1431">
        <v>5.1999999999999998E-2</v>
      </c>
      <c r="AN20" s="1431">
        <v>8.5999999999999993E-2</v>
      </c>
      <c r="AO20" s="1431">
        <v>9.9000000000000005E-2</v>
      </c>
      <c r="AP20" s="1431">
        <v>7.0000000000000007E-2</v>
      </c>
      <c r="AQ20" s="1431">
        <v>0.12</v>
      </c>
      <c r="AR20" s="1431">
        <v>0.13100000000000001</v>
      </c>
      <c r="AS20" s="1431">
        <v>0.13800000000000001</v>
      </c>
      <c r="AT20" s="1431">
        <v>0.1</v>
      </c>
      <c r="AU20" s="1423">
        <v>0.121</v>
      </c>
      <c r="AV20" s="1431">
        <v>6.0999999999999999E-2</v>
      </c>
      <c r="AW20" s="1431">
        <v>4.7E-2</v>
      </c>
      <c r="AX20" s="1431">
        <v>5.3999999999999999E-2</v>
      </c>
      <c r="AY20" s="1431">
        <v>3.1E-2</v>
      </c>
      <c r="AZ20" s="1431">
        <v>0.08</v>
      </c>
      <c r="BA20" s="1423">
        <v>5.5E-2</v>
      </c>
      <c r="BB20" s="1431">
        <v>0.107</v>
      </c>
    </row>
    <row r="21" spans="1:58" s="1431" customFormat="1">
      <c r="A21" s="1440"/>
      <c r="B21" s="91"/>
      <c r="C21" s="1440"/>
      <c r="D21" s="1440"/>
      <c r="E21" s="1440"/>
      <c r="F21" s="1440"/>
      <c r="G21" s="1440"/>
      <c r="M21" s="1440"/>
      <c r="N21" s="1440"/>
      <c r="O21" s="1440"/>
      <c r="P21" s="1440"/>
      <c r="Q21" s="1440"/>
      <c r="W21" s="1440"/>
      <c r="X21" s="1440"/>
      <c r="Y21" s="1440"/>
      <c r="Z21" s="1440"/>
      <c r="AA21" s="1440"/>
      <c r="AB21" s="1440"/>
      <c r="AC21" s="1440"/>
      <c r="AD21" s="1440"/>
      <c r="AE21" s="1440"/>
      <c r="AF21" s="1440"/>
    </row>
    <row r="22" spans="1:58" s="1431" customFormat="1">
      <c r="A22" s="1440"/>
      <c r="B22" s="1408" t="s">
        <v>155</v>
      </c>
      <c r="C22" s="1440"/>
      <c r="D22" s="1440"/>
      <c r="E22" s="1440"/>
      <c r="F22" s="1440"/>
      <c r="G22" s="1440"/>
      <c r="M22" s="1440"/>
      <c r="N22" s="1440"/>
      <c r="O22" s="1440"/>
      <c r="P22" s="1440"/>
      <c r="Q22" s="1440"/>
      <c r="W22" s="1440"/>
      <c r="X22" s="1440"/>
      <c r="Y22" s="1440"/>
      <c r="Z22" s="1440"/>
      <c r="AA22" s="1440"/>
      <c r="AB22" s="1440"/>
      <c r="AC22" s="1440"/>
      <c r="AD22" s="1440"/>
      <c r="AE22" s="1440"/>
      <c r="AF22" s="1440"/>
    </row>
    <row r="23" spans="1:58" s="1431" customFormat="1">
      <c r="A23" s="1440"/>
      <c r="B23" s="1395" t="s">
        <v>1152</v>
      </c>
      <c r="C23" s="1440"/>
      <c r="D23" s="1440"/>
      <c r="E23" s="1440"/>
      <c r="F23" s="1440"/>
      <c r="G23" s="1440"/>
      <c r="M23" s="1440"/>
      <c r="N23" s="1440"/>
      <c r="O23" s="1440"/>
      <c r="P23" s="1440"/>
      <c r="Q23" s="1440"/>
      <c r="W23" s="1440"/>
      <c r="X23" s="1440"/>
      <c r="Y23" s="1440"/>
      <c r="Z23" s="1440"/>
      <c r="AA23" s="1440"/>
      <c r="AB23" s="1440"/>
      <c r="AC23" s="1440"/>
      <c r="AD23" s="1440"/>
      <c r="AE23" s="1440"/>
      <c r="AF23" s="1440"/>
    </row>
    <row r="24" spans="1:58" s="96" customFormat="1">
      <c r="A24" s="1333"/>
      <c r="B24" s="1334" t="s">
        <v>153</v>
      </c>
      <c r="C24" s="1333">
        <v>5.3199999999999997E-2</v>
      </c>
      <c r="D24" s="1333">
        <v>0.09</v>
      </c>
      <c r="E24" s="1333">
        <v>0.1086</v>
      </c>
      <c r="F24" s="1333">
        <v>0.12820000000000001</v>
      </c>
      <c r="G24" s="1416">
        <v>9.8100000000000007E-2</v>
      </c>
      <c r="H24" s="96">
        <v>0.13869999999999999</v>
      </c>
      <c r="I24" s="96">
        <v>0.1038</v>
      </c>
      <c r="J24" s="96">
        <v>6.4000000000000001E-2</v>
      </c>
      <c r="K24" s="96">
        <v>3.3300000000000003E-2</v>
      </c>
      <c r="L24" s="1423">
        <v>8.14E-2</v>
      </c>
      <c r="M24" s="1333">
        <v>3.2000000000000002E-3</v>
      </c>
      <c r="N24" s="1333">
        <v>-0.01</v>
      </c>
      <c r="O24" s="1333">
        <v>-1.4E-3</v>
      </c>
      <c r="P24" s="1333">
        <v>1.9900000000000001E-2</v>
      </c>
      <c r="Q24" s="1416">
        <v>3.2000000000000002E-3</v>
      </c>
      <c r="R24" s="96">
        <v>1.7999999999999999E-2</v>
      </c>
      <c r="S24" s="96">
        <v>3.8899999999999997E-2</v>
      </c>
      <c r="T24" s="96">
        <v>1.2200000000000001E-2</v>
      </c>
      <c r="U24" s="96">
        <v>-1.78E-2</v>
      </c>
      <c r="V24" s="1423">
        <v>1.23E-2</v>
      </c>
      <c r="W24" s="1333">
        <v>-6.9999999999999999E-4</v>
      </c>
      <c r="X24" s="1333">
        <v>-3.3000000000000002E-2</v>
      </c>
      <c r="Y24" s="1333">
        <v>-5.0000000000000001E-3</v>
      </c>
      <c r="Z24" s="1333">
        <v>3.9E-2</v>
      </c>
      <c r="AA24" s="1416">
        <v>0</v>
      </c>
      <c r="AB24" s="1333">
        <v>4.9000000000000002E-2</v>
      </c>
      <c r="AC24" s="1333">
        <v>4.9000000000000002E-2</v>
      </c>
      <c r="AD24" s="1333">
        <v>3.5999999999999997E-2</v>
      </c>
      <c r="AE24" s="1333">
        <v>0.01</v>
      </c>
      <c r="AF24" s="1416">
        <v>3.5999999999999997E-2</v>
      </c>
      <c r="AG24" s="96">
        <v>0.04</v>
      </c>
      <c r="AH24" s="96">
        <v>0.26300000000000001</v>
      </c>
      <c r="AI24" s="96">
        <v>0.13600000000000001</v>
      </c>
      <c r="AJ24" s="96">
        <v>0.17599999999999999</v>
      </c>
      <c r="AK24" s="1423">
        <v>0.152</v>
      </c>
      <c r="AL24" s="96">
        <v>0.159</v>
      </c>
      <c r="AM24" s="96">
        <v>-4.3999999999999997E-2</v>
      </c>
      <c r="AN24" s="96">
        <v>9.5000000000000001E-2</v>
      </c>
      <c r="AO24" s="96">
        <v>0.11899999999999999</v>
      </c>
      <c r="AP24" s="1423">
        <v>0.08</v>
      </c>
      <c r="AQ24" s="96">
        <v>0.108</v>
      </c>
      <c r="AR24" s="96">
        <v>0.152</v>
      </c>
      <c r="AS24" s="96">
        <v>0.107</v>
      </c>
      <c r="AT24" s="96">
        <v>4.7E-2</v>
      </c>
      <c r="AU24" s="1423">
        <v>0.10199999999999999</v>
      </c>
      <c r="AV24" s="96">
        <v>0.05</v>
      </c>
      <c r="AW24" s="96">
        <v>1.9E-2</v>
      </c>
      <c r="AX24" s="96">
        <v>3.3000000000000002E-2</v>
      </c>
      <c r="AY24" s="96">
        <v>3.4000000000000002E-2</v>
      </c>
      <c r="AZ24" s="96">
        <v>0.09</v>
      </c>
      <c r="BA24" s="1423">
        <v>4.8000000000000001E-2</v>
      </c>
      <c r="BB24" s="96">
        <v>0.104</v>
      </c>
      <c r="BE24" s="1423"/>
      <c r="BF24" s="1431"/>
    </row>
    <row r="25" spans="1:58" s="96" customFormat="1">
      <c r="A25" s="1333"/>
      <c r="B25" s="1334" t="s">
        <v>151</v>
      </c>
      <c r="C25" s="1333">
        <v>6.1000000000000004E-3</v>
      </c>
      <c r="D25" s="1333">
        <v>2.93E-2</v>
      </c>
      <c r="E25" s="1333">
        <v>5.74E-2</v>
      </c>
      <c r="F25" s="1333">
        <v>3.7699999999999997E-2</v>
      </c>
      <c r="G25" s="1416">
        <v>3.6799999999999999E-2</v>
      </c>
      <c r="H25" s="96">
        <v>1.6999999999999999E-3</v>
      </c>
      <c r="I25" s="96">
        <v>-5.8999999999999999E-3</v>
      </c>
      <c r="J25" s="96">
        <v>-2.1000000000000001E-2</v>
      </c>
      <c r="K25" s="96">
        <v>-1.4500000000000001E-2</v>
      </c>
      <c r="L25" s="1423">
        <v>-7.9000000000000008E-3</v>
      </c>
      <c r="M25" s="1333">
        <v>2.3400000000000001E-2</v>
      </c>
      <c r="N25" s="1333">
        <v>2.0500000000000001E-2</v>
      </c>
      <c r="O25" s="1333">
        <v>3.8800000000000001E-2</v>
      </c>
      <c r="P25" s="1333">
        <v>-6.7999999999999996E-3</v>
      </c>
      <c r="Q25" s="1416">
        <v>2.0500000000000001E-2</v>
      </c>
      <c r="R25" s="96">
        <v>-3.8100000000000002E-2</v>
      </c>
      <c r="S25" s="96">
        <v>-3.2500000000000001E-2</v>
      </c>
      <c r="T25" s="96">
        <v>-2.0899999999999998E-2</v>
      </c>
      <c r="U25" s="96">
        <v>-1.9900000000000001E-2</v>
      </c>
      <c r="V25" s="1423">
        <v>-2.63E-2</v>
      </c>
      <c r="W25" s="1333">
        <v>-3.7600000000000001E-2</v>
      </c>
      <c r="X25" s="1333">
        <v>-2.1999999999999999E-2</v>
      </c>
      <c r="Y25" s="1333">
        <v>-2.1999999999999999E-2</v>
      </c>
      <c r="Z25" s="1333">
        <v>-3.5000000000000003E-2</v>
      </c>
      <c r="AA25" s="1416">
        <v>-2.8000000000000001E-2</v>
      </c>
      <c r="AB25" s="1333">
        <v>-3.5999999999999997E-2</v>
      </c>
      <c r="AC25" s="1333">
        <v>-2.1000000000000001E-2</v>
      </c>
      <c r="AD25" s="1333">
        <v>-3.4000000000000002E-2</v>
      </c>
      <c r="AE25" s="1333">
        <v>2E-3</v>
      </c>
      <c r="AF25" s="1416">
        <v>-2.1999999999999999E-2</v>
      </c>
      <c r="AG25" s="96">
        <v>4.2000000000000003E-2</v>
      </c>
      <c r="AH25" s="96">
        <v>-0.14299999999999999</v>
      </c>
      <c r="AI25" s="96">
        <v>-0.05</v>
      </c>
      <c r="AJ25" s="96">
        <v>-7.9000000000000001E-2</v>
      </c>
      <c r="AK25" s="1423">
        <v>-6.0999999999999999E-2</v>
      </c>
      <c r="AL25" s="96">
        <v>-9.5000000000000001E-2</v>
      </c>
      <c r="AM25" s="96">
        <v>0.105</v>
      </c>
      <c r="AN25" s="96">
        <v>6.0000000000000001E-3</v>
      </c>
      <c r="AO25" s="96">
        <v>-1E-3</v>
      </c>
      <c r="AP25" s="1423">
        <v>2E-3</v>
      </c>
      <c r="AQ25" s="96">
        <v>0.01</v>
      </c>
      <c r="AR25" s="96">
        <v>-1.2999999999999999E-2</v>
      </c>
      <c r="AS25" s="96">
        <v>0.03</v>
      </c>
      <c r="AT25" s="96">
        <v>4.7E-2</v>
      </c>
      <c r="AU25" s="1423">
        <v>1.7999999999999999E-2</v>
      </c>
      <c r="AV25" s="96">
        <v>2.9000000000000001E-2</v>
      </c>
      <c r="AW25" s="96">
        <v>3.5999999999999997E-2</v>
      </c>
      <c r="AX25" s="96">
        <v>3.3000000000000002E-2</v>
      </c>
      <c r="AY25" s="96">
        <v>3.0000000000000001E-3</v>
      </c>
      <c r="AZ25" s="96">
        <v>0</v>
      </c>
      <c r="BA25" s="1423">
        <v>1.6E-2</v>
      </c>
      <c r="BB25" s="96">
        <v>8.9999999999999993E-3</v>
      </c>
      <c r="BE25" s="1423"/>
      <c r="BF25" s="1431"/>
    </row>
    <row r="26" spans="1:58" s="96" customFormat="1">
      <c r="A26" s="1333"/>
      <c r="B26" s="1334" t="s">
        <v>152</v>
      </c>
      <c r="C26" s="1333">
        <v>5.96E-2</v>
      </c>
      <c r="D26" s="1333">
        <v>0.122</v>
      </c>
      <c r="E26" s="1333">
        <v>0.1721</v>
      </c>
      <c r="F26" s="1333">
        <v>0.17069999999999999</v>
      </c>
      <c r="G26" s="1416">
        <v>0.13850000000000001</v>
      </c>
      <c r="H26" s="96">
        <v>0.1406</v>
      </c>
      <c r="I26" s="96">
        <v>9.74E-2</v>
      </c>
      <c r="J26" s="96">
        <v>4.1599999999999998E-2</v>
      </c>
      <c r="K26" s="96">
        <v>1.83E-2</v>
      </c>
      <c r="L26" s="1423">
        <v>7.2900000000000006E-2</v>
      </c>
      <c r="M26" s="1333">
        <v>2.6700000000000002E-2</v>
      </c>
      <c r="N26" s="1333">
        <v>1.0200000000000001E-2</v>
      </c>
      <c r="O26" s="1333">
        <v>3.73E-2</v>
      </c>
      <c r="P26" s="1333">
        <v>1.2999999999999999E-2</v>
      </c>
      <c r="Q26" s="1416">
        <v>2.3800000000000002E-2</v>
      </c>
      <c r="R26" s="96">
        <v>-2.0799999999999999E-2</v>
      </c>
      <c r="S26" s="96">
        <v>5.0000000000000001E-3</v>
      </c>
      <c r="T26" s="96">
        <v>-8.9999999999999993E-3</v>
      </c>
      <c r="U26" s="96">
        <v>-3.73E-2</v>
      </c>
      <c r="V26" s="1423">
        <v>-1.4200000000000001E-2</v>
      </c>
      <c r="W26" s="1333">
        <v>-3.8300000000000001E-2</v>
      </c>
      <c r="X26" s="1333">
        <v>-5.3999999999999999E-2</v>
      </c>
      <c r="Y26" s="1333">
        <v>-2.7E-2</v>
      </c>
      <c r="Z26" s="1333">
        <v>3.0000000000000001E-3</v>
      </c>
      <c r="AA26" s="1416">
        <v>-2.8000000000000001E-2</v>
      </c>
      <c r="AB26" s="1333">
        <v>1.0999999999999999E-2</v>
      </c>
      <c r="AC26" s="1333">
        <v>2.7E-2</v>
      </c>
      <c r="AD26" s="1333">
        <v>1E-3</v>
      </c>
      <c r="AE26" s="1333">
        <v>1.2E-2</v>
      </c>
      <c r="AF26" s="1416">
        <v>1.2999999999999999E-2</v>
      </c>
      <c r="AG26" s="96">
        <v>8.4000000000000005E-2</v>
      </c>
      <c r="AH26" s="96">
        <v>8.2000000000000003E-2</v>
      </c>
      <c r="AI26" s="96">
        <v>7.8E-2</v>
      </c>
      <c r="AJ26" s="96">
        <v>8.3000000000000004E-2</v>
      </c>
      <c r="AK26" s="1423">
        <v>8.2000000000000003E-2</v>
      </c>
      <c r="AL26" s="96">
        <v>4.9000000000000002E-2</v>
      </c>
      <c r="AM26" s="96">
        <v>5.7000000000000002E-2</v>
      </c>
      <c r="AN26" s="96">
        <v>0.10199999999999999</v>
      </c>
      <c r="AO26" s="96">
        <v>0.11899999999999999</v>
      </c>
      <c r="AP26" s="1423">
        <v>8.2000000000000003E-2</v>
      </c>
      <c r="AQ26" s="96">
        <v>0.12</v>
      </c>
      <c r="AR26" s="96">
        <v>0.13600000000000001</v>
      </c>
      <c r="AS26" s="96">
        <v>0.14000000000000001</v>
      </c>
      <c r="AT26" s="96">
        <v>9.6000000000000002E-2</v>
      </c>
      <c r="AU26" s="1423">
        <v>0.123</v>
      </c>
      <c r="AV26" s="96">
        <v>0.08</v>
      </c>
      <c r="AW26" s="96">
        <v>5.5E-2</v>
      </c>
      <c r="AX26" s="96">
        <v>6.7000000000000004E-2</v>
      </c>
      <c r="AY26" s="96">
        <v>3.6999999999999998E-2</v>
      </c>
      <c r="AZ26" s="96">
        <v>0.09</v>
      </c>
      <c r="BA26" s="1423">
        <v>6.5000000000000002E-2</v>
      </c>
      <c r="BB26" s="96">
        <v>0.114</v>
      </c>
      <c r="BE26" s="1423"/>
      <c r="BF26" s="1431"/>
    </row>
    <row r="27" spans="1:58" s="1431" customFormat="1">
      <c r="A27" s="1440"/>
      <c r="B27" s="1395" t="s">
        <v>1153</v>
      </c>
      <c r="C27" s="1440"/>
      <c r="D27" s="1440"/>
      <c r="E27" s="1440"/>
      <c r="F27" s="1440"/>
      <c r="G27" s="1440"/>
      <c r="M27" s="1440"/>
      <c r="N27" s="1440"/>
      <c r="O27" s="1440"/>
      <c r="P27" s="1440"/>
      <c r="Q27" s="1440"/>
      <c r="W27" s="1440"/>
      <c r="X27" s="1440"/>
      <c r="Y27" s="1440"/>
      <c r="Z27" s="1440"/>
      <c r="AA27" s="1440"/>
      <c r="AB27" s="1440"/>
      <c r="AC27" s="1440"/>
      <c r="AD27" s="1440"/>
      <c r="AE27" s="1440"/>
      <c r="AF27" s="1440"/>
    </row>
    <row r="28" spans="1:58" s="96" customFormat="1">
      <c r="A28" s="1333"/>
      <c r="B28" s="1334" t="s">
        <v>153</v>
      </c>
      <c r="C28" s="1333"/>
      <c r="D28" s="1333"/>
      <c r="E28" s="1333"/>
      <c r="F28" s="1333"/>
      <c r="G28" s="1416"/>
      <c r="H28" s="1428"/>
      <c r="I28" s="1428"/>
      <c r="J28" s="1428"/>
      <c r="K28" s="1428"/>
      <c r="L28" s="1429"/>
      <c r="M28" s="1333"/>
      <c r="N28" s="1333"/>
      <c r="O28" s="1333"/>
      <c r="P28" s="1333"/>
      <c r="Q28" s="1416"/>
      <c r="R28" s="1428"/>
      <c r="S28" s="1428"/>
      <c r="T28" s="1428"/>
      <c r="U28" s="1428"/>
      <c r="V28" s="1429"/>
      <c r="W28" s="1333"/>
      <c r="X28" s="1333"/>
      <c r="Y28" s="1333"/>
      <c r="Z28" s="1333"/>
      <c r="AA28" s="1416"/>
      <c r="AB28" s="1333"/>
      <c r="AC28" s="1333"/>
      <c r="AD28" s="1333"/>
      <c r="AE28" s="1333"/>
      <c r="AF28" s="1416"/>
      <c r="AG28" s="1492" t="s">
        <v>100</v>
      </c>
      <c r="AH28" s="1492" t="s">
        <v>100</v>
      </c>
      <c r="AI28" s="1492" t="s">
        <v>100</v>
      </c>
      <c r="AJ28" s="1492" t="s">
        <v>100</v>
      </c>
      <c r="AK28" s="1507" t="s">
        <v>100</v>
      </c>
      <c r="AL28" s="1492" t="s">
        <v>100</v>
      </c>
      <c r="AM28" s="1492" t="s">
        <v>100</v>
      </c>
      <c r="AN28" s="1492" t="s">
        <v>100</v>
      </c>
      <c r="AO28" s="1428" t="s">
        <v>100</v>
      </c>
      <c r="AP28" s="1429" t="s">
        <v>100</v>
      </c>
      <c r="AQ28" s="1492" t="s">
        <v>100</v>
      </c>
      <c r="AR28" s="1492" t="s">
        <v>100</v>
      </c>
      <c r="AS28" s="18">
        <v>8.3000000000000004E-2</v>
      </c>
      <c r="AT28" s="18">
        <v>4.9000000000000002E-2</v>
      </c>
      <c r="AU28" s="1532">
        <v>6.3E-2</v>
      </c>
      <c r="AV28" s="18">
        <v>4.1000000000000002E-2</v>
      </c>
      <c r="AW28" s="96">
        <v>5.0000000000000001E-3</v>
      </c>
      <c r="AX28" s="96">
        <v>2.1999999999999999E-2</v>
      </c>
      <c r="AY28" s="18">
        <v>6.0999999999999999E-2</v>
      </c>
      <c r="AZ28" s="18">
        <v>0.113</v>
      </c>
      <c r="BA28" s="1532">
        <v>5.3999999999999999E-2</v>
      </c>
      <c r="BB28" s="96">
        <v>0.1</v>
      </c>
      <c r="BC28" s="18"/>
      <c r="BD28" s="18"/>
      <c r="BE28" s="1532"/>
    </row>
    <row r="29" spans="1:58" s="96" customFormat="1">
      <c r="A29" s="1333"/>
      <c r="B29" s="1334" t="s">
        <v>151</v>
      </c>
      <c r="C29" s="1333"/>
      <c r="D29" s="1333"/>
      <c r="E29" s="1333"/>
      <c r="F29" s="1333"/>
      <c r="G29" s="1416"/>
      <c r="H29" s="1428"/>
      <c r="I29" s="1428"/>
      <c r="J29" s="1428"/>
      <c r="K29" s="1428"/>
      <c r="L29" s="1429"/>
      <c r="M29" s="1333"/>
      <c r="N29" s="1333"/>
      <c r="O29" s="1333"/>
      <c r="P29" s="1333"/>
      <c r="Q29" s="1416"/>
      <c r="R29" s="1428"/>
      <c r="S29" s="1428"/>
      <c r="T29" s="1428"/>
      <c r="U29" s="1428"/>
      <c r="V29" s="1429"/>
      <c r="W29" s="1333"/>
      <c r="X29" s="1333"/>
      <c r="Y29" s="1333"/>
      <c r="Z29" s="1333"/>
      <c r="AA29" s="1416"/>
      <c r="AB29" s="1333"/>
      <c r="AC29" s="1333"/>
      <c r="AD29" s="1333"/>
      <c r="AE29" s="1333"/>
      <c r="AF29" s="1416"/>
      <c r="AG29" s="1492" t="s">
        <v>100</v>
      </c>
      <c r="AH29" s="1492" t="s">
        <v>100</v>
      </c>
      <c r="AI29" s="1492" t="s">
        <v>100</v>
      </c>
      <c r="AJ29" s="1492" t="s">
        <v>100</v>
      </c>
      <c r="AK29" s="1507" t="s">
        <v>100</v>
      </c>
      <c r="AL29" s="1492" t="s">
        <v>100</v>
      </c>
      <c r="AM29" s="1492" t="s">
        <v>100</v>
      </c>
      <c r="AN29" s="1492" t="s">
        <v>100</v>
      </c>
      <c r="AO29" s="1428" t="s">
        <v>100</v>
      </c>
      <c r="AP29" s="1429" t="s">
        <v>100</v>
      </c>
      <c r="AQ29" s="1492" t="s">
        <v>100</v>
      </c>
      <c r="AR29" s="1492" t="s">
        <v>100</v>
      </c>
      <c r="AS29" s="18">
        <v>1.4E-2</v>
      </c>
      <c r="AT29" s="18">
        <v>1.4E-2</v>
      </c>
      <c r="AU29" s="1532">
        <v>1.4E-2</v>
      </c>
      <c r="AV29" s="18">
        <v>-3.3000000000000002E-2</v>
      </c>
      <c r="AW29" s="96">
        <v>-1.4E-2</v>
      </c>
      <c r="AX29" s="96">
        <v>-2.4E-2</v>
      </c>
      <c r="AY29" s="18">
        <v>-3.7999999999999999E-2</v>
      </c>
      <c r="AZ29" s="18">
        <v>-3.2000000000000001E-2</v>
      </c>
      <c r="BA29" s="1532">
        <v>-2.9000000000000001E-2</v>
      </c>
      <c r="BB29" s="96">
        <v>1.4999999999999999E-2</v>
      </c>
      <c r="BC29" s="18"/>
      <c r="BD29" s="18"/>
      <c r="BE29" s="1532"/>
    </row>
    <row r="30" spans="1:58" s="96" customFormat="1">
      <c r="A30" s="1333"/>
      <c r="B30" s="1334" t="s">
        <v>152</v>
      </c>
      <c r="C30" s="1333"/>
      <c r="D30" s="1333"/>
      <c r="E30" s="1333"/>
      <c r="F30" s="1333"/>
      <c r="G30" s="1416"/>
      <c r="H30" s="1428"/>
      <c r="I30" s="1428"/>
      <c r="J30" s="1428"/>
      <c r="K30" s="1428"/>
      <c r="L30" s="1429"/>
      <c r="M30" s="1333"/>
      <c r="N30" s="1333"/>
      <c r="O30" s="1333"/>
      <c r="P30" s="1333"/>
      <c r="Q30" s="1416"/>
      <c r="R30" s="1428"/>
      <c r="S30" s="1428"/>
      <c r="T30" s="1428"/>
      <c r="U30" s="1428"/>
      <c r="V30" s="1429"/>
      <c r="W30" s="1333"/>
      <c r="X30" s="1333"/>
      <c r="Y30" s="1333"/>
      <c r="Z30" s="1333"/>
      <c r="AA30" s="1416"/>
      <c r="AB30" s="1333"/>
      <c r="AC30" s="1333"/>
      <c r="AD30" s="1333"/>
      <c r="AE30" s="1333"/>
      <c r="AF30" s="1416"/>
      <c r="AG30" s="1492" t="s">
        <v>100</v>
      </c>
      <c r="AH30" s="1492" t="s">
        <v>100</v>
      </c>
      <c r="AI30" s="1492" t="s">
        <v>100</v>
      </c>
      <c r="AJ30" s="1492" t="s">
        <v>100</v>
      </c>
      <c r="AK30" s="1507" t="s">
        <v>100</v>
      </c>
      <c r="AL30" s="1492" t="s">
        <v>100</v>
      </c>
      <c r="AM30" s="1492" t="s">
        <v>100</v>
      </c>
      <c r="AN30" s="1492" t="s">
        <v>100</v>
      </c>
      <c r="AO30" s="1428" t="s">
        <v>100</v>
      </c>
      <c r="AP30" s="1429" t="s">
        <v>100</v>
      </c>
      <c r="AQ30" s="1492" t="s">
        <v>100</v>
      </c>
      <c r="AR30" s="1492" t="s">
        <v>100</v>
      </c>
      <c r="AS30" s="18">
        <v>9.8000000000000004E-2</v>
      </c>
      <c r="AT30" s="18">
        <v>6.4000000000000001E-2</v>
      </c>
      <c r="AU30" s="1532">
        <v>7.8E-2</v>
      </c>
      <c r="AV30" s="18">
        <v>6.0000000000000001E-3</v>
      </c>
      <c r="AW30" s="96">
        <v>-8.9999999999999993E-3</v>
      </c>
      <c r="AX30" s="96">
        <v>-2E-3</v>
      </c>
      <c r="AY30" s="18">
        <v>0.02</v>
      </c>
      <c r="AZ30" s="18">
        <v>7.6999999999999999E-2</v>
      </c>
      <c r="BA30" s="1532">
        <v>2.3E-2</v>
      </c>
      <c r="BB30" s="96">
        <v>0.11700000000000001</v>
      </c>
      <c r="BC30" s="18"/>
      <c r="BD30" s="18"/>
      <c r="BE30" s="1532"/>
    </row>
    <row r="31" spans="1:58" s="1431" customFormat="1">
      <c r="A31" s="1440"/>
      <c r="B31" s="1334"/>
      <c r="C31" s="1440"/>
      <c r="D31" s="1440"/>
      <c r="E31" s="1440"/>
      <c r="F31" s="1440"/>
      <c r="G31" s="1440"/>
      <c r="M31" s="1440"/>
      <c r="N31" s="1440"/>
      <c r="O31" s="1440"/>
      <c r="P31" s="1440"/>
      <c r="Q31" s="1440"/>
      <c r="W31" s="1440"/>
      <c r="X31" s="1440"/>
      <c r="Y31" s="1440"/>
      <c r="Z31" s="1440"/>
      <c r="AA31" s="1440"/>
      <c r="AB31" s="1440"/>
      <c r="AC31" s="1440"/>
      <c r="AD31" s="1440"/>
      <c r="AE31" s="1440"/>
      <c r="AF31" s="1440"/>
    </row>
    <row r="32" spans="1:58" s="1431" customFormat="1">
      <c r="A32" s="1440"/>
      <c r="B32" s="1408" t="s">
        <v>156</v>
      </c>
      <c r="C32" s="1440"/>
      <c r="D32" s="1440"/>
      <c r="E32" s="1440"/>
      <c r="F32" s="1440"/>
      <c r="G32" s="1440"/>
      <c r="M32" s="1440"/>
      <c r="N32" s="1440"/>
      <c r="O32" s="1440"/>
      <c r="P32" s="1440"/>
      <c r="Q32" s="1440"/>
      <c r="W32" s="1440"/>
      <c r="X32" s="1440"/>
      <c r="Y32" s="1440"/>
      <c r="Z32" s="1440"/>
      <c r="AA32" s="1440"/>
      <c r="AB32" s="1440"/>
      <c r="AC32" s="1440"/>
      <c r="AD32" s="1440"/>
      <c r="AE32" s="1440"/>
      <c r="AF32" s="1440"/>
    </row>
    <row r="33" spans="1:58" s="1431" customFormat="1">
      <c r="A33" s="1440"/>
      <c r="B33" s="1395" t="s">
        <v>1152</v>
      </c>
      <c r="C33" s="1440"/>
      <c r="D33" s="1440"/>
      <c r="E33" s="1440"/>
      <c r="F33" s="1440"/>
      <c r="G33" s="1440"/>
      <c r="M33" s="1440"/>
      <c r="N33" s="1440"/>
      <c r="O33" s="1440"/>
      <c r="P33" s="1440"/>
      <c r="Q33" s="1440"/>
      <c r="W33" s="1440"/>
      <c r="X33" s="1440"/>
      <c r="Y33" s="1440"/>
      <c r="Z33" s="1440"/>
      <c r="AA33" s="1440"/>
      <c r="AB33" s="1440"/>
      <c r="AC33" s="1440"/>
      <c r="AD33" s="1440"/>
      <c r="AE33" s="1440"/>
      <c r="AF33" s="1440"/>
    </row>
    <row r="34" spans="1:58" s="96" customFormat="1">
      <c r="A34" s="1333"/>
      <c r="B34" s="1334" t="s">
        <v>153</v>
      </c>
      <c r="C34" s="1333">
        <v>4.2200000000000001E-2</v>
      </c>
      <c r="D34" s="1333">
        <v>8.1000000000000003E-2</v>
      </c>
      <c r="E34" s="1333">
        <v>7.6200000000000004E-2</v>
      </c>
      <c r="F34" s="1333">
        <v>0.1086</v>
      </c>
      <c r="G34" s="1416">
        <v>7.9600000000000004E-2</v>
      </c>
      <c r="H34" s="96">
        <v>0.14419999999999999</v>
      </c>
      <c r="I34" s="96">
        <v>6.3500000000000001E-2</v>
      </c>
      <c r="J34" s="96">
        <v>3.8399999999999997E-2</v>
      </c>
      <c r="K34" s="96">
        <v>-4.4999999999999997E-3</v>
      </c>
      <c r="L34" s="1423">
        <v>5.33E-2</v>
      </c>
      <c r="M34" s="1333">
        <v>-4.1200000000000001E-2</v>
      </c>
      <c r="N34" s="1333">
        <v>-1.3599999999999999E-2</v>
      </c>
      <c r="O34" s="1333">
        <v>3.3E-3</v>
      </c>
      <c r="P34" s="1333">
        <v>6.1999999999999998E-3</v>
      </c>
      <c r="Q34" s="1416">
        <v>-1.11E-2</v>
      </c>
      <c r="R34" s="96">
        <v>-2.3900000000000001E-2</v>
      </c>
      <c r="S34" s="96">
        <v>-1.0699999999999999E-2</v>
      </c>
      <c r="T34" s="96">
        <v>-2.0500000000000001E-2</v>
      </c>
      <c r="U34" s="96">
        <v>-3.4700000000000002E-2</v>
      </c>
      <c r="V34" s="1423">
        <v>-2.2700000000000001E-2</v>
      </c>
      <c r="W34" s="1333">
        <v>-2.1899999999999999E-2</v>
      </c>
      <c r="X34" s="1333">
        <v>-5.2999999999999999E-2</v>
      </c>
      <c r="Y34" s="1333">
        <v>-1.9E-2</v>
      </c>
      <c r="Z34" s="1333">
        <v>1.0999999999999999E-2</v>
      </c>
      <c r="AA34" s="1416">
        <v>-0.02</v>
      </c>
      <c r="AB34" s="1333">
        <v>1.2999999999999999E-2</v>
      </c>
      <c r="AC34" s="1333">
        <v>1.9E-2</v>
      </c>
      <c r="AD34" s="1333">
        <v>1.6E-2</v>
      </c>
      <c r="AE34" s="1333">
        <v>1.7999999999999999E-2</v>
      </c>
      <c r="AF34" s="1416">
        <v>1.6E-2</v>
      </c>
      <c r="AG34" s="96">
        <v>6.8000000000000005E-2</v>
      </c>
      <c r="AH34" s="96">
        <v>0.26200000000000001</v>
      </c>
      <c r="AI34" s="96">
        <v>0.106</v>
      </c>
      <c r="AJ34" s="96">
        <v>0.13400000000000001</v>
      </c>
      <c r="AK34" s="1423">
        <v>0.13900000000000001</v>
      </c>
      <c r="AL34" s="96">
        <v>0.121</v>
      </c>
      <c r="AM34" s="96">
        <v>-6.5000000000000002E-2</v>
      </c>
      <c r="AN34" s="96">
        <v>5.8999999999999997E-2</v>
      </c>
      <c r="AO34" s="96">
        <v>0.1</v>
      </c>
      <c r="AP34" s="1423">
        <v>5.1999999999999998E-2</v>
      </c>
      <c r="AQ34" s="96">
        <v>0.11</v>
      </c>
      <c r="AR34" s="96">
        <v>0.14000000000000001</v>
      </c>
      <c r="AS34" s="96">
        <v>0.122</v>
      </c>
      <c r="AT34" s="96">
        <v>4.8000000000000001E-2</v>
      </c>
      <c r="AU34" s="1423">
        <v>0.105</v>
      </c>
      <c r="AV34" s="96">
        <v>2.8000000000000001E-2</v>
      </c>
      <c r="AW34" s="96">
        <v>3.1E-2</v>
      </c>
      <c r="AX34" s="96">
        <v>0.03</v>
      </c>
      <c r="AY34" s="96">
        <v>4.4999999999999998E-2</v>
      </c>
      <c r="AZ34" s="96">
        <v>0.10100000000000001</v>
      </c>
      <c r="BA34" s="1423">
        <v>5.1999999999999998E-2</v>
      </c>
      <c r="BB34" s="96">
        <v>8.5000000000000006E-2</v>
      </c>
      <c r="BE34" s="1423"/>
      <c r="BF34" s="1431"/>
    </row>
    <row r="35" spans="1:58" s="96" customFormat="1">
      <c r="A35" s="1333"/>
      <c r="B35" s="1334" t="s">
        <v>151</v>
      </c>
      <c r="C35" s="1333">
        <v>5.2499999999999998E-2</v>
      </c>
      <c r="D35" s="1333">
        <v>6.8000000000000005E-2</v>
      </c>
      <c r="E35" s="1333">
        <v>6.8400000000000002E-2</v>
      </c>
      <c r="F35" s="1333">
        <v>5.2999999999999999E-2</v>
      </c>
      <c r="G35" s="1416">
        <v>6.0400000000000002E-2</v>
      </c>
      <c r="H35" s="96">
        <v>7.0000000000000001E-3</v>
      </c>
      <c r="I35" s="96">
        <v>-3.04E-2</v>
      </c>
      <c r="J35" s="96">
        <v>-4.58E-2</v>
      </c>
      <c r="K35" s="96">
        <v>-7.1800000000000003E-2</v>
      </c>
      <c r="L35" s="1423">
        <v>-3.7499999999999999E-2</v>
      </c>
      <c r="M35" s="1333">
        <v>-4.2299999999999997E-2</v>
      </c>
      <c r="N35" s="1333">
        <v>-9.1499999999999998E-2</v>
      </c>
      <c r="O35" s="1333">
        <v>-7.9299999999999995E-2</v>
      </c>
      <c r="P35" s="1333">
        <v>-0.1153</v>
      </c>
      <c r="Q35" s="1416">
        <v>-8.43E-2</v>
      </c>
      <c r="R35" s="96">
        <v>-0.1285</v>
      </c>
      <c r="S35" s="96">
        <v>-8.4599999999999995E-2</v>
      </c>
      <c r="T35" s="96">
        <v>-6.4199999999999993E-2</v>
      </c>
      <c r="U35" s="96">
        <v>-2.81E-2</v>
      </c>
      <c r="V35" s="1423">
        <v>-7.5300000000000006E-2</v>
      </c>
      <c r="W35" s="1333">
        <v>-2.24E-2</v>
      </c>
      <c r="X35" s="1333">
        <v>-1.2E-2</v>
      </c>
      <c r="Y35" s="1333">
        <v>2E-3</v>
      </c>
      <c r="Z35" s="1333">
        <v>-1.7999999999999999E-2</v>
      </c>
      <c r="AA35" s="1416">
        <v>-1.2999999999999999E-2</v>
      </c>
      <c r="AB35" s="1333">
        <v>-4.4999999999999998E-2</v>
      </c>
      <c r="AC35" s="1333">
        <v>-5.2999999999999999E-2</v>
      </c>
      <c r="AD35" s="1333">
        <v>-7.3999999999999996E-2</v>
      </c>
      <c r="AE35" s="1333">
        <v>-7.0999999999999994E-2</v>
      </c>
      <c r="AF35" s="1416">
        <v>-6.0999999999999999E-2</v>
      </c>
      <c r="AG35" s="96">
        <v>-2.4E-2</v>
      </c>
      <c r="AH35" s="96">
        <v>-0.20200000000000001</v>
      </c>
      <c r="AI35" s="96">
        <v>-0.113</v>
      </c>
      <c r="AJ35" s="96">
        <v>-0.11600000000000001</v>
      </c>
      <c r="AK35" s="1423">
        <v>-0.115</v>
      </c>
      <c r="AL35" s="96">
        <v>-0.114</v>
      </c>
      <c r="AM35" s="96">
        <v>9.0999999999999998E-2</v>
      </c>
      <c r="AN35" s="96">
        <v>-2.5000000000000001E-2</v>
      </c>
      <c r="AO35" s="96">
        <v>-6.2E-2</v>
      </c>
      <c r="AP35" s="1423">
        <v>-3.1E-2</v>
      </c>
      <c r="AQ35" s="96">
        <v>-0.04</v>
      </c>
      <c r="AR35" s="96">
        <v>-4.3999999999999997E-2</v>
      </c>
      <c r="AS35" s="96">
        <v>2E-3</v>
      </c>
      <c r="AT35" s="96">
        <v>6.3E-2</v>
      </c>
      <c r="AU35" s="1423">
        <v>-5.0000000000000001E-3</v>
      </c>
      <c r="AV35" s="96">
        <v>4.2000000000000003E-2</v>
      </c>
      <c r="AW35" s="96">
        <v>1.9E-2</v>
      </c>
      <c r="AX35" s="96">
        <v>0.03</v>
      </c>
      <c r="AY35" s="96">
        <v>1E-3</v>
      </c>
      <c r="AZ35" s="96">
        <v>-3.5999999999999997E-2</v>
      </c>
      <c r="BA35" s="1423">
        <v>5.0000000000000001E-3</v>
      </c>
      <c r="BB35" s="96">
        <v>-3.5000000000000003E-2</v>
      </c>
      <c r="BE35" s="1423"/>
      <c r="BF35" s="1431"/>
    </row>
    <row r="36" spans="1:58" s="96" customFormat="1">
      <c r="A36" s="1333"/>
      <c r="B36" s="1334" t="s">
        <v>152</v>
      </c>
      <c r="C36" s="1333">
        <v>9.6799999999999997E-2</v>
      </c>
      <c r="D36" s="1333">
        <v>0.1545</v>
      </c>
      <c r="E36" s="1333">
        <v>0.14979999999999999</v>
      </c>
      <c r="F36" s="1333">
        <v>0.16739999999999999</v>
      </c>
      <c r="G36" s="1416">
        <v>0.14480000000000001</v>
      </c>
      <c r="H36" s="96">
        <v>0.1522</v>
      </c>
      <c r="I36" s="96">
        <v>3.1199999999999999E-2</v>
      </c>
      <c r="J36" s="96">
        <v>-9.1999999999999998E-3</v>
      </c>
      <c r="K36" s="96">
        <v>-7.5999999999999998E-2</v>
      </c>
      <c r="L36" s="1423">
        <v>1.38E-2</v>
      </c>
      <c r="M36" s="1333">
        <v>-8.1699999999999995E-2</v>
      </c>
      <c r="N36" s="1333">
        <v>-0.1038</v>
      </c>
      <c r="O36" s="1333">
        <v>-7.6300000000000007E-2</v>
      </c>
      <c r="P36" s="1333">
        <v>-0.10979999999999999</v>
      </c>
      <c r="Q36" s="1416">
        <v>-9.4399999999999998E-2</v>
      </c>
      <c r="R36" s="96">
        <v>-0.14940000000000001</v>
      </c>
      <c r="S36" s="96">
        <v>-9.4500000000000001E-2</v>
      </c>
      <c r="T36" s="96">
        <v>-8.3299999999999999E-2</v>
      </c>
      <c r="U36" s="96">
        <v>-6.1800000000000001E-2</v>
      </c>
      <c r="V36" s="1423">
        <v>-9.6299999999999997E-2</v>
      </c>
      <c r="W36" s="1333">
        <v>-4.3900000000000002E-2</v>
      </c>
      <c r="X36" s="1333">
        <v>-6.4000000000000001E-2</v>
      </c>
      <c r="Y36" s="1333">
        <v>-1.6E-2</v>
      </c>
      <c r="Z36" s="1333">
        <v>-7.0000000000000001E-3</v>
      </c>
      <c r="AA36" s="1416">
        <v>-3.3000000000000002E-2</v>
      </c>
      <c r="AB36" s="1333">
        <v>-3.2000000000000001E-2</v>
      </c>
      <c r="AC36" s="1333">
        <v>-3.5000000000000003E-2</v>
      </c>
      <c r="AD36" s="1333">
        <v>-0.06</v>
      </c>
      <c r="AE36" s="1333">
        <v>-5.3999999999999999E-2</v>
      </c>
      <c r="AF36" s="1416">
        <v>-4.5999999999999999E-2</v>
      </c>
      <c r="AG36" s="96">
        <v>4.2999999999999997E-2</v>
      </c>
      <c r="AH36" s="96">
        <v>7.0000000000000001E-3</v>
      </c>
      <c r="AI36" s="96">
        <v>-1.9E-2</v>
      </c>
      <c r="AJ36" s="96">
        <v>3.0000000000000001E-3</v>
      </c>
      <c r="AK36" s="1423">
        <v>8.0000000000000002E-3</v>
      </c>
      <c r="AL36" s="96">
        <v>-7.0000000000000001E-3</v>
      </c>
      <c r="AM36" s="96">
        <v>0.02</v>
      </c>
      <c r="AN36" s="96">
        <v>3.2000000000000001E-2</v>
      </c>
      <c r="AO36" s="96">
        <v>3.1E-2</v>
      </c>
      <c r="AP36" s="1423">
        <v>1.9E-2</v>
      </c>
      <c r="AQ36" s="96">
        <v>6.6000000000000003E-2</v>
      </c>
      <c r="AR36" s="96">
        <v>9.0999999999999998E-2</v>
      </c>
      <c r="AS36" s="96">
        <v>0.125</v>
      </c>
      <c r="AT36" s="96">
        <v>0.114</v>
      </c>
      <c r="AU36" s="1423">
        <v>9.9000000000000005E-2</v>
      </c>
      <c r="AV36" s="96">
        <v>7.0999999999999994E-2</v>
      </c>
      <c r="AW36" s="96">
        <v>5.0999999999999997E-2</v>
      </c>
      <c r="AX36" s="96">
        <v>6.0999999999999999E-2</v>
      </c>
      <c r="AY36" s="96">
        <v>4.5999999999999999E-2</v>
      </c>
      <c r="AZ36" s="96">
        <v>6.0999999999999999E-2</v>
      </c>
      <c r="BA36" s="1423">
        <v>5.7000000000000002E-2</v>
      </c>
      <c r="BB36" s="96">
        <v>4.8000000000000001E-2</v>
      </c>
      <c r="BE36" s="1423"/>
      <c r="BF36" s="1431"/>
    </row>
    <row r="37" spans="1:58" s="1431" customFormat="1">
      <c r="A37" s="1440"/>
      <c r="B37" s="1334"/>
      <c r="C37" s="1440"/>
      <c r="D37" s="1440"/>
      <c r="E37" s="1440"/>
      <c r="F37" s="1440"/>
      <c r="G37" s="1440"/>
      <c r="M37" s="1440"/>
      <c r="N37" s="1440"/>
      <c r="O37" s="1440"/>
      <c r="P37" s="1440"/>
      <c r="Q37" s="1440"/>
      <c r="W37" s="1440"/>
      <c r="X37" s="1440"/>
      <c r="Y37" s="1440"/>
      <c r="Z37" s="1440"/>
      <c r="AA37" s="1440"/>
      <c r="AB37" s="1440"/>
      <c r="AC37" s="1440"/>
      <c r="AD37" s="1440"/>
      <c r="AE37" s="1440"/>
      <c r="AF37" s="1440"/>
    </row>
    <row r="38" spans="1:58" s="1431" customFormat="1">
      <c r="A38" s="1440"/>
      <c r="B38" s="1408" t="s">
        <v>199</v>
      </c>
      <c r="C38" s="1440"/>
      <c r="D38" s="1440"/>
      <c r="E38" s="1440"/>
      <c r="F38" s="1440"/>
      <c r="G38" s="1440"/>
      <c r="M38" s="1440"/>
      <c r="N38" s="1440"/>
      <c r="O38" s="1440"/>
      <c r="P38" s="1440"/>
      <c r="Q38" s="1440"/>
      <c r="W38" s="1440"/>
      <c r="X38" s="1440"/>
      <c r="Y38" s="1440"/>
      <c r="Z38" s="1440"/>
      <c r="AA38" s="1440"/>
      <c r="AB38" s="1440"/>
      <c r="AC38" s="1440"/>
      <c r="AD38" s="1440"/>
      <c r="AE38" s="1440"/>
      <c r="AF38" s="1440"/>
    </row>
    <row r="39" spans="1:58" s="96" customFormat="1">
      <c r="A39" s="1333"/>
      <c r="B39" s="1395" t="s">
        <v>1152</v>
      </c>
      <c r="C39" s="1333"/>
      <c r="D39" s="1333"/>
      <c r="E39" s="1333"/>
      <c r="F39" s="1333"/>
      <c r="G39" s="1416"/>
      <c r="L39" s="1423"/>
      <c r="M39" s="1333"/>
      <c r="N39" s="1333"/>
      <c r="O39" s="1333"/>
      <c r="P39" s="1333"/>
      <c r="Q39" s="1416"/>
      <c r="V39" s="1423"/>
      <c r="W39" s="1333"/>
      <c r="X39" s="1333"/>
      <c r="Y39" s="1333"/>
      <c r="Z39" s="1333"/>
      <c r="AA39" s="1416"/>
      <c r="AB39" s="1333"/>
      <c r="AC39" s="1333"/>
      <c r="AD39" s="1333"/>
      <c r="AE39" s="1333"/>
      <c r="AF39" s="1416"/>
      <c r="AK39" s="1423"/>
      <c r="AP39" s="1423"/>
      <c r="AU39" s="1423"/>
      <c r="BA39" s="1423"/>
      <c r="BE39" s="1423"/>
    </row>
    <row r="40" spans="1:58" s="96" customFormat="1">
      <c r="A40" s="1333"/>
      <c r="B40" s="1334" t="s">
        <v>153</v>
      </c>
      <c r="C40" s="1333">
        <v>1.9699999999999999E-2</v>
      </c>
      <c r="D40" s="1333">
        <v>3.61E-2</v>
      </c>
      <c r="E40" s="1333">
        <v>3.44E-2</v>
      </c>
      <c r="F40" s="1333">
        <v>5.4899999999999997E-2</v>
      </c>
      <c r="G40" s="1416">
        <v>3.7600000000000001E-2</v>
      </c>
      <c r="H40" s="96">
        <v>9.9699999999999997E-2</v>
      </c>
      <c r="I40" s="96">
        <v>0.14349999999999999</v>
      </c>
      <c r="J40" s="96">
        <v>0.152</v>
      </c>
      <c r="K40" s="96">
        <v>0.13719999999999999</v>
      </c>
      <c r="L40" s="1423">
        <v>0.13239999999999999</v>
      </c>
      <c r="M40" s="1333">
        <v>0.11509999999999999</v>
      </c>
      <c r="N40" s="1333">
        <v>0.1017</v>
      </c>
      <c r="O40" s="1333">
        <v>7.1900000000000006E-2</v>
      </c>
      <c r="P40" s="1333">
        <v>3.9100000000000003E-2</v>
      </c>
      <c r="Q40" s="1416">
        <v>7.5499999999999998E-2</v>
      </c>
      <c r="R40" s="96">
        <v>1.4E-3</v>
      </c>
      <c r="S40" s="96">
        <v>1.46E-2</v>
      </c>
      <c r="T40" s="96">
        <v>8.8999999999999999E-3</v>
      </c>
      <c r="U40" s="96">
        <v>2.24E-2</v>
      </c>
      <c r="V40" s="1423">
        <v>1.17E-2</v>
      </c>
      <c r="W40" s="1333">
        <v>4.53E-2</v>
      </c>
      <c r="X40" s="1333">
        <v>2.9000000000000001E-2</v>
      </c>
      <c r="Y40" s="1333">
        <v>3.7999999999999999E-2</v>
      </c>
      <c r="Z40" s="1333">
        <v>4.9000000000000002E-2</v>
      </c>
      <c r="AA40" s="1416">
        <v>4.1000000000000002E-2</v>
      </c>
      <c r="AB40" s="1333">
        <v>3.2000000000000001E-2</v>
      </c>
      <c r="AC40" s="1333">
        <v>4.4999999999999998E-2</v>
      </c>
      <c r="AD40" s="1333">
        <v>2.1000000000000001E-2</v>
      </c>
      <c r="AE40" s="1333">
        <v>-2.9000000000000001E-2</v>
      </c>
      <c r="AF40" s="1416">
        <v>1.4999999999999999E-2</v>
      </c>
      <c r="AG40" s="96">
        <v>-1E-3</v>
      </c>
      <c r="AH40" s="96">
        <v>0.121</v>
      </c>
      <c r="AI40" s="96">
        <v>9.8000000000000004E-2</v>
      </c>
      <c r="AJ40" s="96">
        <v>0.129</v>
      </c>
      <c r="AK40" s="1423">
        <v>8.7999999999999995E-2</v>
      </c>
      <c r="AL40" s="96">
        <v>0.12</v>
      </c>
      <c r="AM40" s="96">
        <v>-7.0000000000000001E-3</v>
      </c>
      <c r="AN40" s="96">
        <v>3.6999999999999998E-2</v>
      </c>
      <c r="AO40" s="96">
        <v>6.3E-2</v>
      </c>
      <c r="AP40" s="1423">
        <v>5.1999999999999998E-2</v>
      </c>
      <c r="AQ40" s="96">
        <v>0.16400000000000001</v>
      </c>
      <c r="AR40" s="96">
        <v>0.16500000000000001</v>
      </c>
      <c r="AS40" s="96">
        <v>0.17699999999999999</v>
      </c>
      <c r="AT40" s="96">
        <v>0.113</v>
      </c>
      <c r="AU40" s="1423">
        <v>0.154</v>
      </c>
      <c r="AV40" s="96">
        <v>3.2000000000000001E-2</v>
      </c>
      <c r="AW40" s="96">
        <v>5.5E-2</v>
      </c>
      <c r="AX40" s="96">
        <v>4.2999999999999997E-2</v>
      </c>
      <c r="AY40" s="96">
        <v>3.4000000000000002E-2</v>
      </c>
      <c r="AZ40" s="96">
        <v>7.5999999999999998E-2</v>
      </c>
      <c r="BA40" s="1423">
        <v>4.9000000000000002E-2</v>
      </c>
      <c r="BB40" s="96">
        <v>0.09</v>
      </c>
      <c r="BE40" s="1423"/>
      <c r="BF40" s="1431" t="s">
        <v>1227</v>
      </c>
    </row>
    <row r="41" spans="1:58" s="96" customFormat="1">
      <c r="A41" s="1333"/>
      <c r="B41" s="1334" t="s">
        <v>151</v>
      </c>
      <c r="C41" s="1333">
        <v>0.50539999999999996</v>
      </c>
      <c r="D41" s="1333">
        <v>0.40579999999999999</v>
      </c>
      <c r="E41" s="1333">
        <v>0.35589999999999999</v>
      </c>
      <c r="F41" s="1333">
        <v>0.23080000000000001</v>
      </c>
      <c r="G41" s="1416">
        <v>0.3569</v>
      </c>
      <c r="H41" s="96">
        <v>0.1263</v>
      </c>
      <c r="I41" s="96">
        <v>0.1018</v>
      </c>
      <c r="J41" s="96">
        <v>5.79E-2</v>
      </c>
      <c r="K41" s="96">
        <v>-1.6299999999999999E-2</v>
      </c>
      <c r="L41" s="1423">
        <v>5.62E-2</v>
      </c>
      <c r="M41" s="1333">
        <v>-2.5600000000000001E-2</v>
      </c>
      <c r="N41" s="1333">
        <v>-5.33E-2</v>
      </c>
      <c r="O41" s="1333">
        <v>-0.04</v>
      </c>
      <c r="P41" s="1333">
        <v>3.7000000000000002E-3</v>
      </c>
      <c r="Q41" s="1416">
        <v>-2.5000000000000001E-2</v>
      </c>
      <c r="R41" s="96">
        <v>-2.0999999999999999E-3</v>
      </c>
      <c r="S41" s="96">
        <v>2.7900000000000001E-2</v>
      </c>
      <c r="T41" s="96">
        <v>-2.0400000000000001E-2</v>
      </c>
      <c r="U41" s="96">
        <v>-4.9799999999999997E-2</v>
      </c>
      <c r="V41" s="1423">
        <v>-1.14E-2</v>
      </c>
      <c r="W41" s="1333">
        <v>-4.24E-2</v>
      </c>
      <c r="X41" s="1333">
        <v>-2.1999999999999999E-2</v>
      </c>
      <c r="Y41" s="1333">
        <v>1E-3</v>
      </c>
      <c r="Z41" s="1333">
        <v>1.4999999999999999E-2</v>
      </c>
      <c r="AA41" s="1416">
        <v>-1.0999999999999999E-2</v>
      </c>
      <c r="AB41" s="1333">
        <v>1E-3</v>
      </c>
      <c r="AC41" s="1333">
        <v>-7.0000000000000001E-3</v>
      </c>
      <c r="AD41" s="1333">
        <v>1.6E-2</v>
      </c>
      <c r="AE41" s="1333">
        <v>4.8000000000000001E-2</v>
      </c>
      <c r="AF41" s="1416">
        <v>1.6E-2</v>
      </c>
      <c r="AG41" s="96">
        <v>8.8999999999999996E-2</v>
      </c>
      <c r="AH41" s="96">
        <v>-2.5000000000000001E-2</v>
      </c>
      <c r="AI41" s="96">
        <v>2.5000000000000001E-2</v>
      </c>
      <c r="AJ41" s="96">
        <v>-2.3E-2</v>
      </c>
      <c r="AK41" s="1423">
        <v>1.4E-2</v>
      </c>
      <c r="AL41" s="96">
        <v>-6.9000000000000006E-2</v>
      </c>
      <c r="AM41" s="96">
        <v>6.2E-2</v>
      </c>
      <c r="AN41" s="96">
        <v>-4.0000000000000001E-3</v>
      </c>
      <c r="AO41" s="96">
        <v>-1.4999999999999999E-2</v>
      </c>
      <c r="AP41" s="1423">
        <v>-8.0000000000000002E-3</v>
      </c>
      <c r="AQ41" s="96">
        <v>2.8000000000000001E-2</v>
      </c>
      <c r="AR41" s="96">
        <v>-1.7999999999999999E-2</v>
      </c>
      <c r="AS41" s="96">
        <v>1.4E-2</v>
      </c>
      <c r="AT41" s="96">
        <v>4.2999999999999997E-2</v>
      </c>
      <c r="AU41" s="1423">
        <v>1.7000000000000001E-2</v>
      </c>
      <c r="AV41" s="96">
        <v>-4.2999999999999997E-2</v>
      </c>
      <c r="AW41" s="96">
        <v>-7.0000000000000001E-3</v>
      </c>
      <c r="AX41" s="96">
        <v>-2.5000000000000001E-2</v>
      </c>
      <c r="AY41" s="96">
        <v>-6.2E-2</v>
      </c>
      <c r="AZ41" s="96">
        <v>-5.5E-2</v>
      </c>
      <c r="BA41" s="1423">
        <v>-4.2999999999999997E-2</v>
      </c>
      <c r="BB41" s="96">
        <v>1.0999999999999999E-2</v>
      </c>
      <c r="BE41" s="1423"/>
      <c r="BF41" s="1431"/>
    </row>
    <row r="42" spans="1:58" s="96" customFormat="1">
      <c r="A42" s="1333"/>
      <c r="B42" s="1334" t="s">
        <v>152</v>
      </c>
      <c r="C42" s="1333">
        <v>0.53500000000000003</v>
      </c>
      <c r="D42" s="1333">
        <v>0.45650000000000002</v>
      </c>
      <c r="E42" s="1333">
        <v>0.40250000000000002</v>
      </c>
      <c r="F42" s="1333">
        <v>0.2984</v>
      </c>
      <c r="G42" s="1416">
        <v>0.40789999999999998</v>
      </c>
      <c r="H42" s="96">
        <v>0.23860000000000001</v>
      </c>
      <c r="I42" s="96">
        <v>0.25990000000000002</v>
      </c>
      <c r="J42" s="96">
        <v>0.21879999999999999</v>
      </c>
      <c r="K42" s="96">
        <v>0.1186</v>
      </c>
      <c r="L42" s="1423">
        <v>0.1961</v>
      </c>
      <c r="M42" s="1333">
        <v>8.6599999999999996E-2</v>
      </c>
      <c r="N42" s="1333">
        <v>4.2999999999999997E-2</v>
      </c>
      <c r="O42" s="1333">
        <v>2.9000000000000001E-2</v>
      </c>
      <c r="P42" s="1333">
        <v>4.2900000000000001E-2</v>
      </c>
      <c r="Q42" s="1416">
        <v>4.87E-2</v>
      </c>
      <c r="R42" s="96">
        <v>-6.9999999999999999E-4</v>
      </c>
      <c r="S42" s="96">
        <v>4.2900000000000001E-2</v>
      </c>
      <c r="T42" s="96">
        <v>-1.17E-2</v>
      </c>
      <c r="U42" s="96">
        <v>-2.8500000000000001E-2</v>
      </c>
      <c r="V42" s="1423">
        <v>2.0000000000000001E-4</v>
      </c>
      <c r="W42" s="1333">
        <v>1E-3</v>
      </c>
      <c r="X42" s="1333">
        <v>7.0000000000000001E-3</v>
      </c>
      <c r="Y42" s="1333">
        <v>3.9E-2</v>
      </c>
      <c r="Z42" s="1333">
        <v>6.5000000000000002E-2</v>
      </c>
      <c r="AA42" s="1416">
        <v>0.03</v>
      </c>
      <c r="AB42" s="1333">
        <v>3.3000000000000002E-2</v>
      </c>
      <c r="AC42" s="1333">
        <v>3.7999999999999999E-2</v>
      </c>
      <c r="AD42" s="1333">
        <v>3.6999999999999998E-2</v>
      </c>
      <c r="AE42" s="1333">
        <v>1.7999999999999999E-2</v>
      </c>
      <c r="AF42" s="1416">
        <v>3.1E-2</v>
      </c>
      <c r="AG42" s="96">
        <v>8.7999999999999995E-2</v>
      </c>
      <c r="AH42" s="96">
        <v>9.2999999999999999E-2</v>
      </c>
      <c r="AI42" s="96">
        <v>0.126</v>
      </c>
      <c r="AJ42" s="96">
        <v>0.10299999999999999</v>
      </c>
      <c r="AK42" s="1423">
        <v>0.10299999999999999</v>
      </c>
      <c r="AL42" s="96">
        <v>4.2999999999999997E-2</v>
      </c>
      <c r="AM42" s="96">
        <v>5.5E-2</v>
      </c>
      <c r="AN42" s="96">
        <v>3.2000000000000001E-2</v>
      </c>
      <c r="AO42" s="96">
        <v>4.7E-2</v>
      </c>
      <c r="AP42" s="1423">
        <v>4.3999999999999997E-2</v>
      </c>
      <c r="AQ42" s="96">
        <v>0.19700000000000001</v>
      </c>
      <c r="AR42" s="96">
        <v>0.14399999999999999</v>
      </c>
      <c r="AS42" s="96">
        <v>0.193</v>
      </c>
      <c r="AT42" s="96">
        <v>0.161</v>
      </c>
      <c r="AU42" s="1423">
        <v>0.17399999999999999</v>
      </c>
      <c r="AV42" s="96">
        <v>-1.2E-2</v>
      </c>
      <c r="AW42" s="96">
        <v>4.7E-2</v>
      </c>
      <c r="AX42" s="96">
        <v>1.7000000000000001E-2</v>
      </c>
      <c r="AY42" s="96">
        <v>-0.03</v>
      </c>
      <c r="AZ42" s="96">
        <v>1.6E-2</v>
      </c>
      <c r="BA42" s="1423">
        <v>4.0000000000000001E-3</v>
      </c>
      <c r="BB42" s="96">
        <v>0.10199999999999999</v>
      </c>
      <c r="BE42" s="1423"/>
      <c r="BF42" s="1431"/>
    </row>
    <row r="43" spans="1:58">
      <c r="B43" s="92"/>
    </row>
    <row r="44" spans="1:58" ht="13.5" thickBot="1">
      <c r="B44" s="1426" t="s">
        <v>1155</v>
      </c>
      <c r="C44" s="1426"/>
      <c r="D44" s="1426"/>
      <c r="E44" s="1426"/>
      <c r="F44" s="1426"/>
      <c r="G44" s="1426"/>
      <c r="H44" s="1426"/>
      <c r="I44" s="1426"/>
      <c r="J44" s="1426"/>
      <c r="K44" s="1426"/>
      <c r="L44" s="1426"/>
      <c r="M44" s="1426"/>
      <c r="N44" s="1426"/>
      <c r="O44" s="1426"/>
      <c r="P44" s="1426"/>
      <c r="Q44" s="1426"/>
      <c r="R44" s="1426"/>
      <c r="S44" s="1426"/>
      <c r="T44" s="1426"/>
      <c r="U44" s="1426"/>
      <c r="V44" s="1426"/>
      <c r="W44" s="1426"/>
      <c r="X44" s="1426"/>
      <c r="Y44" s="1426"/>
      <c r="Z44" s="1426"/>
      <c r="AA44" s="1426"/>
      <c r="AB44" s="1426"/>
      <c r="AC44" s="1426"/>
      <c r="AD44" s="1426"/>
      <c r="AE44" s="1426"/>
      <c r="AF44" s="1426"/>
      <c r="AG44" s="1426"/>
      <c r="AH44" s="1426"/>
      <c r="AI44" s="1426"/>
      <c r="AJ44" s="1426"/>
      <c r="AK44" s="1426"/>
      <c r="AL44" s="1426"/>
      <c r="AM44" s="1426"/>
      <c r="AN44" s="1426"/>
      <c r="AO44" s="1426"/>
      <c r="AP44" s="1426"/>
      <c r="AQ44" s="1426"/>
      <c r="AR44" s="1426"/>
      <c r="AS44" s="1426"/>
      <c r="AT44" s="1426"/>
      <c r="AU44" s="1426"/>
      <c r="AV44" s="1426"/>
      <c r="AW44" s="1426"/>
      <c r="AX44" s="1426"/>
      <c r="AY44" s="1426"/>
      <c r="AZ44" s="1426"/>
      <c r="BA44" s="1426"/>
      <c r="BB44" s="1426"/>
      <c r="BC44" s="1426"/>
      <c r="BD44" s="1426"/>
      <c r="BE44" s="1426"/>
    </row>
    <row r="45" spans="1:58" s="43" customFormat="1">
      <c r="B45" s="1401" t="s">
        <v>125</v>
      </c>
      <c r="C45" s="42">
        <v>8256</v>
      </c>
      <c r="D45" s="42">
        <v>8618</v>
      </c>
      <c r="E45" s="42">
        <v>9020</v>
      </c>
      <c r="F45" s="42">
        <v>9711</v>
      </c>
      <c r="G45" s="1412">
        <v>9711</v>
      </c>
      <c r="H45" s="42">
        <v>10120</v>
      </c>
      <c r="I45" s="42">
        <v>10728</v>
      </c>
      <c r="J45" s="42">
        <v>11388</v>
      </c>
      <c r="K45" s="42">
        <v>12089</v>
      </c>
      <c r="L45" s="1412">
        <v>12089</v>
      </c>
      <c r="M45" s="42">
        <v>12434</v>
      </c>
      <c r="N45" s="42">
        <v>12888</v>
      </c>
      <c r="O45" s="42">
        <v>13364</v>
      </c>
      <c r="P45" s="42">
        <v>14059</v>
      </c>
      <c r="Q45" s="1412">
        <v>14059</v>
      </c>
      <c r="R45" s="42">
        <v>14309</v>
      </c>
      <c r="S45" s="42">
        <v>14844</v>
      </c>
      <c r="T45" s="42">
        <v>15693</v>
      </c>
      <c r="U45" s="42">
        <v>16298</v>
      </c>
      <c r="V45" s="1412">
        <v>16298</v>
      </c>
      <c r="W45" s="42">
        <v>16575</v>
      </c>
      <c r="X45" s="42">
        <v>16910</v>
      </c>
      <c r="Y45" s="42">
        <v>17392</v>
      </c>
      <c r="Z45" s="42">
        <v>18348</v>
      </c>
      <c r="AA45" s="1412">
        <v>18348</v>
      </c>
      <c r="AB45" s="42">
        <v>19223</v>
      </c>
      <c r="AC45" s="42">
        <v>19884</v>
      </c>
      <c r="AD45" s="42">
        <v>20497</v>
      </c>
      <c r="AE45" s="42">
        <v>20725</v>
      </c>
      <c r="AF45" s="1412">
        <v>20725</v>
      </c>
      <c r="AG45" s="42">
        <v>20860</v>
      </c>
      <c r="AH45" s="42">
        <v>20894</v>
      </c>
      <c r="AI45" s="42">
        <v>21154</v>
      </c>
      <c r="AJ45" s="42">
        <v>21564</v>
      </c>
      <c r="AK45" s="1412">
        <v>21564</v>
      </c>
      <c r="AL45" s="72">
        <v>21900</v>
      </c>
      <c r="AM45" s="72">
        <v>22344</v>
      </c>
      <c r="AN45" s="72">
        <v>25315</v>
      </c>
      <c r="AO45" s="72">
        <v>26077</v>
      </c>
      <c r="AP45" s="1511">
        <v>26077</v>
      </c>
      <c r="AQ45" s="42">
        <v>26605</v>
      </c>
      <c r="AR45" s="42">
        <v>26731</v>
      </c>
      <c r="AS45" s="42">
        <v>27059</v>
      </c>
      <c r="AT45" s="42">
        <v>27405</v>
      </c>
      <c r="AU45" s="1412">
        <v>27405</v>
      </c>
      <c r="AV45" s="42">
        <v>27909</v>
      </c>
      <c r="AW45" s="42">
        <v>28309</v>
      </c>
      <c r="AX45" s="42">
        <v>28309</v>
      </c>
      <c r="AY45" s="42">
        <v>28707</v>
      </c>
      <c r="AZ45" s="42">
        <v>29165</v>
      </c>
      <c r="BA45" s="1412">
        <v>29165</v>
      </c>
      <c r="BB45" s="42">
        <v>30109</v>
      </c>
      <c r="BC45" s="42"/>
      <c r="BD45" s="42"/>
      <c r="BE45" s="1412"/>
    </row>
    <row r="46" spans="1:58">
      <c r="B46" s="91" t="s">
        <v>1231</v>
      </c>
      <c r="C46" s="4">
        <v>7341</v>
      </c>
      <c r="D46" s="4">
        <v>7614</v>
      </c>
      <c r="E46" s="4">
        <v>7891</v>
      </c>
      <c r="F46" s="4">
        <v>8344</v>
      </c>
      <c r="G46" s="1414">
        <v>8344</v>
      </c>
      <c r="H46" s="4">
        <v>8581</v>
      </c>
      <c r="I46" s="4">
        <v>8890</v>
      </c>
      <c r="J46" s="4">
        <v>9246</v>
      </c>
      <c r="K46" s="4">
        <v>9594</v>
      </c>
      <c r="L46" s="1414">
        <v>9594</v>
      </c>
      <c r="M46" s="4">
        <v>9715</v>
      </c>
      <c r="N46" s="4">
        <v>9902</v>
      </c>
      <c r="O46" s="4">
        <v>10138</v>
      </c>
      <c r="P46" s="4">
        <v>10521</v>
      </c>
      <c r="Q46" s="1414">
        <v>10521</v>
      </c>
      <c r="R46" s="4">
        <v>10709</v>
      </c>
      <c r="S46" s="4">
        <v>11114</v>
      </c>
      <c r="T46" s="4">
        <v>11743</v>
      </c>
      <c r="U46" s="4">
        <v>12125</v>
      </c>
      <c r="V46" s="1414">
        <v>12125</v>
      </c>
      <c r="W46" s="4">
        <v>12283</v>
      </c>
      <c r="X46" s="4">
        <v>12503</v>
      </c>
      <c r="Y46" s="4">
        <v>12813</v>
      </c>
      <c r="Z46" s="4">
        <v>13427</v>
      </c>
      <c r="AA46" s="1414">
        <v>13427</v>
      </c>
      <c r="AB46" s="4">
        <v>13909</v>
      </c>
      <c r="AC46" s="4">
        <v>14231</v>
      </c>
      <c r="AD46" s="4">
        <v>14507</v>
      </c>
      <c r="AE46" s="4">
        <v>14622</v>
      </c>
      <c r="AF46" s="1414">
        <v>14622</v>
      </c>
      <c r="AG46" s="4">
        <v>14594</v>
      </c>
      <c r="AH46" s="4">
        <v>14581</v>
      </c>
      <c r="AI46" s="4">
        <v>14699</v>
      </c>
      <c r="AJ46" s="4">
        <v>14911</v>
      </c>
      <c r="AK46" s="1414">
        <v>14911</v>
      </c>
      <c r="AL46" s="4">
        <v>15098</v>
      </c>
      <c r="AM46" s="4">
        <v>15348</v>
      </c>
      <c r="AN46" s="71">
        <v>15657</v>
      </c>
      <c r="AO46" s="71">
        <v>16190</v>
      </c>
      <c r="AP46" s="1424">
        <v>16190</v>
      </c>
      <c r="AQ46" s="4">
        <v>16620</v>
      </c>
      <c r="AR46" s="4">
        <v>16748</v>
      </c>
      <c r="AS46" s="4">
        <v>17139</v>
      </c>
      <c r="AT46" s="4">
        <v>17416</v>
      </c>
      <c r="AU46" s="1414">
        <v>17416</v>
      </c>
      <c r="AV46" s="4">
        <v>17787</v>
      </c>
      <c r="AW46" s="4">
        <v>18072</v>
      </c>
      <c r="AX46" s="4">
        <v>18072</v>
      </c>
      <c r="AY46" s="4">
        <v>18377</v>
      </c>
      <c r="AZ46" s="4">
        <v>18701</v>
      </c>
      <c r="BA46" s="1414">
        <v>18701</v>
      </c>
      <c r="BB46" s="4">
        <v>19423</v>
      </c>
      <c r="BE46" s="1414"/>
    </row>
    <row r="47" spans="1:58">
      <c r="B47" s="91" t="s">
        <v>1233</v>
      </c>
      <c r="G47" s="1414"/>
      <c r="H47" s="1428"/>
      <c r="I47" s="1428"/>
      <c r="J47" s="1428"/>
      <c r="K47" s="1428"/>
      <c r="L47" s="1429"/>
      <c r="Q47" s="1414"/>
      <c r="R47" s="1428"/>
      <c r="S47" s="1428"/>
      <c r="T47" s="1428"/>
      <c r="U47" s="1428"/>
      <c r="V47" s="1429"/>
      <c r="AA47" s="1414"/>
      <c r="AF47" s="1414"/>
      <c r="AG47" s="1492" t="s">
        <v>100</v>
      </c>
      <c r="AH47" s="1492" t="s">
        <v>100</v>
      </c>
      <c r="AI47" s="1492" t="s">
        <v>100</v>
      </c>
      <c r="AJ47" s="1492" t="s">
        <v>100</v>
      </c>
      <c r="AK47" s="1507" t="s">
        <v>100</v>
      </c>
      <c r="AL47" s="1492" t="s">
        <v>100</v>
      </c>
      <c r="AM47" s="1492" t="s">
        <v>100</v>
      </c>
      <c r="AN47" s="48">
        <v>2438</v>
      </c>
      <c r="AO47" s="49">
        <v>2412</v>
      </c>
      <c r="AP47" s="1510">
        <v>2412</v>
      </c>
      <c r="AQ47" s="1514">
        <v>2333</v>
      </c>
      <c r="AR47" s="1524">
        <v>2326</v>
      </c>
      <c r="AS47" s="1524">
        <v>2208</v>
      </c>
      <c r="AT47" s="1514">
        <v>2208</v>
      </c>
      <c r="AU47" s="1530">
        <v>2208</v>
      </c>
      <c r="AV47" s="1514">
        <v>2207</v>
      </c>
      <c r="AW47" s="1524">
        <v>2213</v>
      </c>
      <c r="AX47" s="1524">
        <v>2213</v>
      </c>
      <c r="AY47" s="1524">
        <v>2219</v>
      </c>
      <c r="AZ47" s="1514">
        <v>2235</v>
      </c>
      <c r="BA47" s="1530">
        <v>2235</v>
      </c>
      <c r="BB47" s="1524">
        <v>2274</v>
      </c>
      <c r="BC47" s="1524"/>
      <c r="BD47" s="1514"/>
      <c r="BE47" s="1530"/>
    </row>
    <row r="48" spans="1:58">
      <c r="B48" s="91" t="s">
        <v>1232</v>
      </c>
      <c r="C48" s="4">
        <v>215</v>
      </c>
      <c r="D48" s="4">
        <v>226</v>
      </c>
      <c r="E48" s="4">
        <v>243</v>
      </c>
      <c r="F48" s="4">
        <v>287</v>
      </c>
      <c r="G48" s="1414">
        <v>287</v>
      </c>
      <c r="H48" s="4">
        <v>300</v>
      </c>
      <c r="I48" s="4">
        <v>311</v>
      </c>
      <c r="J48" s="4">
        <v>335</v>
      </c>
      <c r="K48" s="4">
        <v>374</v>
      </c>
      <c r="L48" s="1414">
        <v>374</v>
      </c>
      <c r="M48" s="4">
        <v>382</v>
      </c>
      <c r="N48" s="4">
        <v>398</v>
      </c>
      <c r="O48" s="4">
        <v>407</v>
      </c>
      <c r="P48" s="4">
        <v>431</v>
      </c>
      <c r="Q48" s="1414">
        <v>431</v>
      </c>
      <c r="R48" s="4">
        <v>426</v>
      </c>
      <c r="S48" s="4">
        <v>430</v>
      </c>
      <c r="T48" s="4">
        <v>432</v>
      </c>
      <c r="U48" s="4">
        <v>451</v>
      </c>
      <c r="V48" s="1414">
        <v>451</v>
      </c>
      <c r="W48" s="4">
        <v>452</v>
      </c>
      <c r="X48" s="4">
        <v>457</v>
      </c>
      <c r="Y48" s="4">
        <v>457</v>
      </c>
      <c r="Z48" s="4">
        <v>467</v>
      </c>
      <c r="AA48" s="1414">
        <v>467</v>
      </c>
      <c r="AB48" s="4">
        <v>467</v>
      </c>
      <c r="AC48" s="4">
        <v>466</v>
      </c>
      <c r="AD48" s="4">
        <v>467</v>
      </c>
      <c r="AE48" s="4">
        <v>473</v>
      </c>
      <c r="AF48" s="1414">
        <v>473</v>
      </c>
      <c r="AG48" s="4">
        <v>472</v>
      </c>
      <c r="AH48" s="4">
        <v>472</v>
      </c>
      <c r="AI48" s="4">
        <v>469</v>
      </c>
      <c r="AJ48" s="4">
        <v>470</v>
      </c>
      <c r="AK48" s="1414">
        <v>470</v>
      </c>
      <c r="AL48" s="4">
        <v>471</v>
      </c>
      <c r="AM48" s="4">
        <v>469</v>
      </c>
      <c r="AN48" s="71">
        <v>467</v>
      </c>
      <c r="AO48" s="71">
        <v>470</v>
      </c>
      <c r="AP48" s="1424">
        <v>470</v>
      </c>
      <c r="AQ48" s="4">
        <v>468</v>
      </c>
      <c r="AR48" s="4">
        <v>467</v>
      </c>
      <c r="AS48" s="4">
        <v>493</v>
      </c>
      <c r="AT48" s="4">
        <v>493</v>
      </c>
      <c r="AU48" s="1414">
        <v>493</v>
      </c>
      <c r="AV48" s="4">
        <v>492</v>
      </c>
      <c r="AW48" s="4">
        <v>490</v>
      </c>
      <c r="AX48" s="4">
        <v>490</v>
      </c>
      <c r="AY48" s="4">
        <v>488</v>
      </c>
      <c r="AZ48" s="4">
        <v>489</v>
      </c>
      <c r="BA48" s="1414">
        <v>489</v>
      </c>
      <c r="BB48" s="4">
        <v>481</v>
      </c>
      <c r="BE48" s="1414"/>
    </row>
    <row r="49" spans="1:58">
      <c r="B49" s="92" t="s">
        <v>198</v>
      </c>
      <c r="C49" s="4">
        <v>700</v>
      </c>
      <c r="D49" s="4">
        <v>778</v>
      </c>
      <c r="E49" s="4">
        <v>886</v>
      </c>
      <c r="F49" s="4">
        <v>1080</v>
      </c>
      <c r="G49" s="1414">
        <v>1080</v>
      </c>
      <c r="H49" s="4">
        <v>1239</v>
      </c>
      <c r="I49" s="4">
        <v>1527</v>
      </c>
      <c r="J49" s="4">
        <v>1807</v>
      </c>
      <c r="K49" s="4">
        <v>2121</v>
      </c>
      <c r="L49" s="1414">
        <v>2121</v>
      </c>
      <c r="M49" s="4">
        <v>2337</v>
      </c>
      <c r="N49" s="4">
        <v>2588</v>
      </c>
      <c r="O49" s="4">
        <v>2819</v>
      </c>
      <c r="P49" s="4">
        <v>3107</v>
      </c>
      <c r="Q49" s="1414">
        <v>3107</v>
      </c>
      <c r="R49" s="4">
        <v>3174</v>
      </c>
      <c r="S49" s="4">
        <v>3300</v>
      </c>
      <c r="T49" s="4">
        <v>3518</v>
      </c>
      <c r="U49" s="4">
        <v>3722</v>
      </c>
      <c r="V49" s="1414">
        <v>3722</v>
      </c>
      <c r="W49" s="4">
        <v>3840</v>
      </c>
      <c r="X49" s="4">
        <v>3950</v>
      </c>
      <c r="Y49" s="4">
        <v>4122</v>
      </c>
      <c r="Z49" s="4">
        <v>4454</v>
      </c>
      <c r="AA49" s="1414">
        <v>4454</v>
      </c>
      <c r="AB49" s="4">
        <v>4847</v>
      </c>
      <c r="AC49" s="4">
        <v>5187</v>
      </c>
      <c r="AD49" s="4">
        <v>5523</v>
      </c>
      <c r="AE49" s="4">
        <v>5630</v>
      </c>
      <c r="AF49" s="1414">
        <v>5630</v>
      </c>
      <c r="AG49" s="4">
        <v>5794</v>
      </c>
      <c r="AH49" s="4">
        <v>5841</v>
      </c>
      <c r="AI49" s="4">
        <v>5986</v>
      </c>
      <c r="AJ49" s="4">
        <v>6183</v>
      </c>
      <c r="AK49" s="1414">
        <v>6183</v>
      </c>
      <c r="AL49" s="4">
        <v>6331</v>
      </c>
      <c r="AM49" s="4">
        <v>6527</v>
      </c>
      <c r="AN49" s="71">
        <v>6714</v>
      </c>
      <c r="AO49" s="71">
        <v>6966</v>
      </c>
      <c r="AP49" s="1424">
        <v>6966</v>
      </c>
      <c r="AQ49" s="4">
        <v>7146</v>
      </c>
      <c r="AR49" s="4">
        <v>7161</v>
      </c>
      <c r="AS49" s="4">
        <v>7219</v>
      </c>
      <c r="AT49" s="4">
        <v>7288</v>
      </c>
      <c r="AU49" s="1414">
        <v>7288</v>
      </c>
      <c r="AV49" s="4">
        <v>7423</v>
      </c>
      <c r="AW49" s="4">
        <v>7534</v>
      </c>
      <c r="AX49" s="4">
        <v>7534</v>
      </c>
      <c r="AY49" s="4">
        <v>7623</v>
      </c>
      <c r="AZ49" s="4">
        <v>7740</v>
      </c>
      <c r="BA49" s="1414">
        <v>7740</v>
      </c>
      <c r="BB49" s="4">
        <v>7931</v>
      </c>
      <c r="BE49" s="1414"/>
    </row>
    <row r="50" spans="1:58">
      <c r="B50" s="92"/>
      <c r="P50" s="1409"/>
      <c r="Q50" s="1409"/>
    </row>
    <row r="51" spans="1:58" s="43" customFormat="1">
      <c r="B51" s="1401" t="s">
        <v>1089</v>
      </c>
      <c r="C51" s="42">
        <v>3068.61</v>
      </c>
      <c r="D51" s="42">
        <v>3189.21</v>
      </c>
      <c r="E51" s="42">
        <v>3327</v>
      </c>
      <c r="F51" s="42">
        <v>3590.64</v>
      </c>
      <c r="G51" s="1412">
        <v>3590.64</v>
      </c>
      <c r="H51" s="42">
        <v>3732.73</v>
      </c>
      <c r="I51" s="42">
        <v>3928</v>
      </c>
      <c r="J51" s="42">
        <v>4154.99</v>
      </c>
      <c r="K51" s="42">
        <v>4413.72</v>
      </c>
      <c r="L51" s="1412">
        <v>4413.72</v>
      </c>
      <c r="M51" s="42">
        <v>4523.63</v>
      </c>
      <c r="N51" s="42">
        <v>4677.2</v>
      </c>
      <c r="O51" s="42">
        <v>4825.3900000000003</v>
      </c>
      <c r="P51" s="42">
        <v>5067.67</v>
      </c>
      <c r="Q51" s="1412">
        <v>5067.67</v>
      </c>
      <c r="R51" s="42">
        <v>5147.99</v>
      </c>
      <c r="S51" s="42">
        <v>5319.6</v>
      </c>
      <c r="T51" s="42">
        <v>5562.48</v>
      </c>
      <c r="U51" s="42">
        <v>5754.94</v>
      </c>
      <c r="V51" s="1412">
        <v>5754.94</v>
      </c>
      <c r="W51" s="42">
        <v>5829.72</v>
      </c>
      <c r="X51" s="42">
        <v>5945</v>
      </c>
      <c r="Y51" s="42">
        <v>6092</v>
      </c>
      <c r="Z51" s="42">
        <v>6425</v>
      </c>
      <c r="AA51" s="1412">
        <v>6425</v>
      </c>
      <c r="AB51" s="42">
        <v>6718</v>
      </c>
      <c r="AC51" s="42">
        <v>6936</v>
      </c>
      <c r="AD51" s="42">
        <v>7143</v>
      </c>
      <c r="AE51" s="42">
        <v>7238</v>
      </c>
      <c r="AF51" s="1412">
        <v>7238</v>
      </c>
      <c r="AG51" s="42">
        <v>7277</v>
      </c>
      <c r="AH51" s="42">
        <v>7290</v>
      </c>
      <c r="AI51" s="42">
        <v>7371</v>
      </c>
      <c r="AJ51" s="42">
        <v>7497</v>
      </c>
      <c r="AK51" s="1412">
        <v>7497</v>
      </c>
      <c r="AL51" s="42">
        <v>7606</v>
      </c>
      <c r="AM51" s="42">
        <v>7747.8149999999996</v>
      </c>
      <c r="AN51" s="42">
        <v>8723</v>
      </c>
      <c r="AO51" s="42">
        <v>8997</v>
      </c>
      <c r="AP51" s="1412">
        <v>8997</v>
      </c>
      <c r="AQ51" s="42">
        <v>9235</v>
      </c>
      <c r="AR51" s="42">
        <v>9258</v>
      </c>
      <c r="AS51" s="42">
        <v>9353</v>
      </c>
      <c r="AT51" s="1335">
        <v>9472</v>
      </c>
      <c r="AU51" s="1531">
        <v>9472</v>
      </c>
      <c r="AV51" s="42">
        <v>9623</v>
      </c>
      <c r="AW51" s="42">
        <v>9753</v>
      </c>
      <c r="AX51" s="42">
        <v>9753</v>
      </c>
      <c r="AY51" s="42">
        <v>9894.2091160000018</v>
      </c>
      <c r="AZ51" s="1335">
        <v>10053</v>
      </c>
      <c r="BA51" s="1531">
        <v>10053</v>
      </c>
      <c r="BB51" s="42">
        <v>10376</v>
      </c>
      <c r="BC51" s="42"/>
      <c r="BD51" s="1335"/>
      <c r="BE51" s="1531"/>
      <c r="BF51" s="1545"/>
    </row>
    <row r="52" spans="1:58">
      <c r="B52" s="91" t="s">
        <v>1231</v>
      </c>
      <c r="C52" s="4">
        <v>2349.71</v>
      </c>
      <c r="D52" s="4">
        <v>2433.66</v>
      </c>
      <c r="E52" s="4">
        <v>2519.71</v>
      </c>
      <c r="F52" s="4">
        <v>2673.31</v>
      </c>
      <c r="G52" s="1414">
        <v>2673.1</v>
      </c>
      <c r="H52" s="4">
        <v>2754.69</v>
      </c>
      <c r="I52" s="4">
        <v>2866.25</v>
      </c>
      <c r="J52" s="4">
        <v>2997.3</v>
      </c>
      <c r="K52" s="4">
        <v>3119.56</v>
      </c>
      <c r="L52" s="1414">
        <v>3119.56</v>
      </c>
      <c r="M52" s="4">
        <v>3162.88</v>
      </c>
      <c r="N52" s="4">
        <v>3236.13</v>
      </c>
      <c r="O52" s="4">
        <v>3319.8</v>
      </c>
      <c r="P52" s="4">
        <v>3452.4</v>
      </c>
      <c r="Q52" s="1414">
        <v>3452.4</v>
      </c>
      <c r="R52" s="4">
        <v>3518.62</v>
      </c>
      <c r="S52" s="4">
        <v>3651.55</v>
      </c>
      <c r="T52" s="4">
        <v>3841.32</v>
      </c>
      <c r="U52" s="4">
        <v>3958.06</v>
      </c>
      <c r="V52" s="1414">
        <v>3958.06</v>
      </c>
      <c r="W52" s="85">
        <v>4011.07</v>
      </c>
      <c r="X52" s="85">
        <v>4092</v>
      </c>
      <c r="Y52" s="85">
        <v>4205</v>
      </c>
      <c r="Z52" s="85">
        <v>4444</v>
      </c>
      <c r="AA52" s="1418">
        <v>4444</v>
      </c>
      <c r="AB52" s="4">
        <v>4643</v>
      </c>
      <c r="AC52" s="4">
        <v>4777</v>
      </c>
      <c r="AD52" s="4">
        <v>4900</v>
      </c>
      <c r="AE52" s="4">
        <v>4952</v>
      </c>
      <c r="AF52" s="1414">
        <v>4952</v>
      </c>
      <c r="AG52" s="4">
        <v>4951</v>
      </c>
      <c r="AH52" s="4">
        <v>4956</v>
      </c>
      <c r="AI52" s="4">
        <v>5005</v>
      </c>
      <c r="AJ52" s="4">
        <v>5090</v>
      </c>
      <c r="AK52" s="1414">
        <v>5090</v>
      </c>
      <c r="AL52" s="4">
        <v>5169</v>
      </c>
      <c r="AM52" s="4">
        <v>5275</v>
      </c>
      <c r="AN52" s="71">
        <v>5410</v>
      </c>
      <c r="AO52" s="71">
        <v>5635</v>
      </c>
      <c r="AP52" s="1424">
        <v>5635</v>
      </c>
      <c r="AQ52" s="4">
        <v>5797</v>
      </c>
      <c r="AR52" s="4">
        <v>5836</v>
      </c>
      <c r="AS52" s="4">
        <v>5960</v>
      </c>
      <c r="AT52" s="4">
        <v>6062</v>
      </c>
      <c r="AU52" s="1414">
        <v>6062</v>
      </c>
      <c r="AV52" s="4">
        <v>6184</v>
      </c>
      <c r="AW52" s="4">
        <v>6287</v>
      </c>
      <c r="AX52" s="4">
        <v>6287</v>
      </c>
      <c r="AY52" s="4">
        <v>6401.9343099999996</v>
      </c>
      <c r="AZ52" s="4">
        <v>6527</v>
      </c>
      <c r="BA52" s="1414">
        <v>6527</v>
      </c>
      <c r="BB52" s="4">
        <v>6807</v>
      </c>
      <c r="BE52" s="1414"/>
      <c r="BF52" s="1545"/>
    </row>
    <row r="53" spans="1:58">
      <c r="B53" s="91" t="s">
        <v>1233</v>
      </c>
      <c r="G53" s="1414"/>
      <c r="H53" s="1428"/>
      <c r="I53" s="1428"/>
      <c r="J53" s="1428"/>
      <c r="K53" s="1428"/>
      <c r="L53" s="1429"/>
      <c r="Q53" s="1414"/>
      <c r="R53" s="1428"/>
      <c r="S53" s="1428"/>
      <c r="T53" s="1428"/>
      <c r="U53" s="1428"/>
      <c r="V53" s="1429"/>
      <c r="AA53" s="1414"/>
      <c r="AF53" s="1414"/>
      <c r="AG53" s="1492" t="s">
        <v>100</v>
      </c>
      <c r="AH53" s="1492" t="s">
        <v>100</v>
      </c>
      <c r="AI53" s="1492" t="s">
        <v>100</v>
      </c>
      <c r="AJ53" s="1492" t="s">
        <v>100</v>
      </c>
      <c r="AK53" s="1507" t="s">
        <v>100</v>
      </c>
      <c r="AL53" s="1492" t="s">
        <v>100</v>
      </c>
      <c r="AM53" s="1492" t="s">
        <v>100</v>
      </c>
      <c r="AN53" s="48">
        <v>725</v>
      </c>
      <c r="AO53" s="49">
        <v>718</v>
      </c>
      <c r="AP53" s="1510">
        <v>718</v>
      </c>
      <c r="AQ53" s="1514">
        <v>757</v>
      </c>
      <c r="AR53" s="1524">
        <v>754</v>
      </c>
      <c r="AS53" s="1524">
        <v>717</v>
      </c>
      <c r="AT53" s="1514">
        <v>719</v>
      </c>
      <c r="AU53" s="1530">
        <v>719</v>
      </c>
      <c r="AV53" s="1514">
        <v>721</v>
      </c>
      <c r="AW53" s="1524">
        <v>728</v>
      </c>
      <c r="AX53" s="1524">
        <v>728</v>
      </c>
      <c r="AY53" s="1524">
        <v>732.22355600000003</v>
      </c>
      <c r="AZ53" s="1514">
        <v>739</v>
      </c>
      <c r="BA53" s="1530">
        <v>739</v>
      </c>
      <c r="BB53" s="1524">
        <v>756</v>
      </c>
      <c r="BC53" s="1524"/>
      <c r="BD53" s="1514"/>
      <c r="BE53" s="1530"/>
      <c r="BF53" s="1545"/>
    </row>
    <row r="54" spans="1:58">
      <c r="B54" s="91" t="s">
        <v>1232</v>
      </c>
      <c r="C54" s="4">
        <v>551.61</v>
      </c>
      <c r="D54" s="4">
        <v>571.57000000000005</v>
      </c>
      <c r="E54" s="4">
        <v>600.81000000000006</v>
      </c>
      <c r="F54" s="4">
        <v>668.16000000000008</v>
      </c>
      <c r="G54" s="1414">
        <v>668.16000000000008</v>
      </c>
      <c r="H54" s="4">
        <v>693.15</v>
      </c>
      <c r="I54" s="4">
        <v>712.54</v>
      </c>
      <c r="J54" s="4">
        <v>744.78</v>
      </c>
      <c r="K54" s="4">
        <v>809.31999999999994</v>
      </c>
      <c r="L54" s="1414">
        <v>809.31999999999994</v>
      </c>
      <c r="M54" s="4">
        <v>825.68</v>
      </c>
      <c r="N54" s="4">
        <v>847.56</v>
      </c>
      <c r="O54" s="4">
        <v>855.68000000000006</v>
      </c>
      <c r="P54" s="4">
        <v>896.43</v>
      </c>
      <c r="Q54" s="1414">
        <v>896.43</v>
      </c>
      <c r="R54" s="4">
        <v>893.13</v>
      </c>
      <c r="S54" s="4">
        <v>899.98</v>
      </c>
      <c r="T54" s="4">
        <v>902.15000000000009</v>
      </c>
      <c r="U54" s="4">
        <v>930.63</v>
      </c>
      <c r="V54" s="1414">
        <v>930.63</v>
      </c>
      <c r="W54" s="85">
        <v>924.22</v>
      </c>
      <c r="X54" s="85">
        <v>933</v>
      </c>
      <c r="Y54" s="85">
        <v>931</v>
      </c>
      <c r="Z54" s="85">
        <v>942</v>
      </c>
      <c r="AA54" s="1418">
        <v>942</v>
      </c>
      <c r="AB54" s="4">
        <v>941</v>
      </c>
      <c r="AC54" s="4">
        <v>939</v>
      </c>
      <c r="AD54" s="4">
        <v>941</v>
      </c>
      <c r="AE54" s="4">
        <v>948</v>
      </c>
      <c r="AF54" s="1414">
        <v>948</v>
      </c>
      <c r="AG54" s="4">
        <v>947</v>
      </c>
      <c r="AH54" s="4">
        <v>944</v>
      </c>
      <c r="AI54" s="4">
        <v>940</v>
      </c>
      <c r="AJ54" s="4">
        <v>941</v>
      </c>
      <c r="AK54" s="1414">
        <v>941</v>
      </c>
      <c r="AL54" s="4">
        <v>943</v>
      </c>
      <c r="AM54" s="4">
        <v>943</v>
      </c>
      <c r="AN54" s="71">
        <v>941</v>
      </c>
      <c r="AO54" s="71">
        <v>937</v>
      </c>
      <c r="AP54" s="1424">
        <v>937</v>
      </c>
      <c r="AQ54" s="4">
        <v>935</v>
      </c>
      <c r="AR54" s="4">
        <v>934</v>
      </c>
      <c r="AS54" s="4">
        <v>986</v>
      </c>
      <c r="AT54" s="4">
        <v>984</v>
      </c>
      <c r="AU54" s="1414">
        <v>984</v>
      </c>
      <c r="AV54" s="4">
        <v>982</v>
      </c>
      <c r="AW54" s="4">
        <v>980</v>
      </c>
      <c r="AX54" s="4">
        <v>980</v>
      </c>
      <c r="AY54" s="4">
        <v>980.98953999999981</v>
      </c>
      <c r="AZ54" s="4">
        <v>983</v>
      </c>
      <c r="BA54" s="1414">
        <v>983</v>
      </c>
      <c r="BB54" s="4">
        <v>969</v>
      </c>
      <c r="BE54" s="1414"/>
      <c r="BF54" s="1545"/>
    </row>
    <row r="55" spans="1:58">
      <c r="B55" s="92" t="s">
        <v>198</v>
      </c>
      <c r="C55" s="4">
        <v>167.29</v>
      </c>
      <c r="D55" s="4">
        <v>183.99</v>
      </c>
      <c r="E55" s="4">
        <v>206.48</v>
      </c>
      <c r="F55" s="4">
        <v>249.17</v>
      </c>
      <c r="G55" s="1414">
        <v>249.17</v>
      </c>
      <c r="H55" s="4">
        <v>284.89999999999998</v>
      </c>
      <c r="I55" s="4">
        <v>349.21</v>
      </c>
      <c r="J55" s="4">
        <v>412.92</v>
      </c>
      <c r="K55" s="4">
        <v>484.84</v>
      </c>
      <c r="L55" s="1414">
        <v>484.84</v>
      </c>
      <c r="M55" s="4">
        <v>535.07000000000005</v>
      </c>
      <c r="N55" s="4">
        <v>593.52</v>
      </c>
      <c r="O55" s="4">
        <v>649.91</v>
      </c>
      <c r="P55" s="4">
        <v>718.84</v>
      </c>
      <c r="Q55" s="1414">
        <v>718.84</v>
      </c>
      <c r="R55" s="4">
        <v>736.24</v>
      </c>
      <c r="S55" s="4">
        <v>768.07</v>
      </c>
      <c r="T55" s="4">
        <v>818.86</v>
      </c>
      <c r="U55" s="4">
        <v>864.25</v>
      </c>
      <c r="V55" s="1414">
        <v>864.25</v>
      </c>
      <c r="W55" s="85">
        <v>892.46</v>
      </c>
      <c r="X55" s="85">
        <v>917</v>
      </c>
      <c r="Y55" s="85">
        <v>954</v>
      </c>
      <c r="Z55" s="85">
        <v>1036</v>
      </c>
      <c r="AA55" s="1418">
        <v>1036</v>
      </c>
      <c r="AB55" s="4">
        <v>1130</v>
      </c>
      <c r="AC55" s="4">
        <v>1208</v>
      </c>
      <c r="AD55" s="4">
        <v>1280</v>
      </c>
      <c r="AE55" s="4">
        <v>1302</v>
      </c>
      <c r="AF55" s="1414">
        <v>1302</v>
      </c>
      <c r="AG55" s="4">
        <v>1339</v>
      </c>
      <c r="AH55" s="4">
        <v>1350</v>
      </c>
      <c r="AI55" s="4">
        <v>1384</v>
      </c>
      <c r="AJ55" s="4">
        <v>1428</v>
      </c>
      <c r="AK55" s="1414">
        <v>1428</v>
      </c>
      <c r="AL55" s="4">
        <v>1460</v>
      </c>
      <c r="AM55" s="4">
        <v>1500</v>
      </c>
      <c r="AN55" s="71">
        <v>1546</v>
      </c>
      <c r="AO55" s="71">
        <v>1604</v>
      </c>
      <c r="AP55" s="1424">
        <v>1604</v>
      </c>
      <c r="AQ55" s="4">
        <v>1645</v>
      </c>
      <c r="AR55" s="4">
        <v>1649</v>
      </c>
      <c r="AS55" s="4">
        <v>1663</v>
      </c>
      <c r="AT55" s="4">
        <v>1678</v>
      </c>
      <c r="AU55" s="1414">
        <v>1678</v>
      </c>
      <c r="AV55" s="4">
        <v>1707</v>
      </c>
      <c r="AW55" s="4">
        <v>1730</v>
      </c>
      <c r="AX55" s="4">
        <v>1730</v>
      </c>
      <c r="AY55" s="4">
        <v>1749.7063000000016</v>
      </c>
      <c r="AZ55" s="4">
        <v>1773</v>
      </c>
      <c r="BA55" s="1414">
        <v>1773</v>
      </c>
      <c r="BB55" s="4">
        <v>1811</v>
      </c>
      <c r="BE55" s="1414"/>
      <c r="BF55" s="1545"/>
    </row>
    <row r="56" spans="1:58">
      <c r="B56" s="92"/>
      <c r="E56" s="85"/>
      <c r="F56" s="85"/>
      <c r="H56" s="85"/>
      <c r="I56" s="85"/>
      <c r="J56" s="85"/>
      <c r="K56" s="85"/>
      <c r="L56" s="85"/>
      <c r="M56" s="85"/>
      <c r="N56" s="85"/>
      <c r="O56" s="85"/>
      <c r="P56" s="1409"/>
      <c r="Q56" s="1409"/>
      <c r="R56" s="85"/>
      <c r="S56" s="85"/>
      <c r="T56" s="85"/>
      <c r="U56" s="85"/>
      <c r="V56" s="85"/>
      <c r="W56" s="85"/>
      <c r="X56" s="85"/>
      <c r="Y56" s="85"/>
      <c r="Z56" s="1398"/>
      <c r="AA56" s="1398"/>
    </row>
    <row r="57" spans="1:58" s="43" customFormat="1">
      <c r="B57" s="1401" t="s">
        <v>1090</v>
      </c>
      <c r="C57" s="42">
        <v>1265.33</v>
      </c>
      <c r="D57" s="42">
        <v>1291.75</v>
      </c>
      <c r="E57" s="42">
        <v>1314.15</v>
      </c>
      <c r="F57" s="42">
        <v>1375.21</v>
      </c>
      <c r="G57" s="1412">
        <v>1375.21</v>
      </c>
      <c r="H57" s="42">
        <v>1398.08</v>
      </c>
      <c r="I57" s="42">
        <v>1416.17</v>
      </c>
      <c r="J57" s="42">
        <v>1432.01</v>
      </c>
      <c r="K57" s="42">
        <v>1474.68</v>
      </c>
      <c r="L57" s="1412">
        <v>1474.68</v>
      </c>
      <c r="M57" s="42">
        <v>1479.15</v>
      </c>
      <c r="N57" s="42">
        <v>1509.42</v>
      </c>
      <c r="O57" s="42">
        <v>1535.47</v>
      </c>
      <c r="P57" s="42">
        <v>1574.08</v>
      </c>
      <c r="Q57" s="1412">
        <v>1574.08</v>
      </c>
      <c r="R57" s="42">
        <v>1587.48</v>
      </c>
      <c r="S57" s="42">
        <v>1601.65</v>
      </c>
      <c r="T57" s="42">
        <v>1607.75</v>
      </c>
      <c r="U57" s="42">
        <v>1637.93</v>
      </c>
      <c r="V57" s="1412">
        <v>1637.93</v>
      </c>
      <c r="W57" s="42">
        <v>1637.63</v>
      </c>
      <c r="X57" s="42">
        <v>1639</v>
      </c>
      <c r="Y57" s="42">
        <v>1639</v>
      </c>
      <c r="Z57" s="42">
        <v>1638</v>
      </c>
      <c r="AA57" s="1412">
        <v>1638</v>
      </c>
      <c r="AB57" s="42">
        <v>1641</v>
      </c>
      <c r="AC57" s="42">
        <v>1643</v>
      </c>
      <c r="AD57" s="42">
        <v>1655</v>
      </c>
      <c r="AE57" s="42">
        <v>1650</v>
      </c>
      <c r="AF57" s="1412">
        <v>1650</v>
      </c>
      <c r="AG57" s="42">
        <v>1651</v>
      </c>
      <c r="AH57" s="42">
        <v>1647</v>
      </c>
      <c r="AI57" s="42">
        <v>1648</v>
      </c>
      <c r="AJ57" s="42">
        <v>1648</v>
      </c>
      <c r="AK57" s="1412">
        <v>1648</v>
      </c>
      <c r="AL57" s="42">
        <v>1648</v>
      </c>
      <c r="AM57" s="42">
        <v>1650</v>
      </c>
      <c r="AN57" s="42">
        <v>1781</v>
      </c>
      <c r="AO57" s="42">
        <v>1777</v>
      </c>
      <c r="AP57" s="1412">
        <v>1777</v>
      </c>
      <c r="AQ57" s="42">
        <v>1784</v>
      </c>
      <c r="AR57" s="42">
        <v>1775</v>
      </c>
      <c r="AS57" s="42">
        <v>1726</v>
      </c>
      <c r="AT57" s="1335">
        <v>1722</v>
      </c>
      <c r="AU57" s="1531">
        <v>1722</v>
      </c>
      <c r="AV57" s="42">
        <v>1726</v>
      </c>
      <c r="AW57" s="42">
        <v>1729</v>
      </c>
      <c r="AX57" s="42">
        <v>1729</v>
      </c>
      <c r="AY57" s="42">
        <v>1730</v>
      </c>
      <c r="AZ57" s="1335">
        <v>1730</v>
      </c>
      <c r="BA57" s="1531">
        <v>1730</v>
      </c>
      <c r="BB57" s="42">
        <v>1733</v>
      </c>
      <c r="BC57" s="42"/>
      <c r="BD57" s="1335"/>
      <c r="BE57" s="1531"/>
    </row>
    <row r="58" spans="1:58">
      <c r="A58" s="1397"/>
      <c r="B58" s="91" t="s">
        <v>1231</v>
      </c>
      <c r="C58" s="4">
        <v>753.8</v>
      </c>
      <c r="D58" s="4">
        <v>766.74</v>
      </c>
      <c r="E58" s="4">
        <v>772.43</v>
      </c>
      <c r="F58" s="4">
        <v>797.21</v>
      </c>
      <c r="G58" s="1414">
        <v>797.21</v>
      </c>
      <c r="H58" s="4">
        <v>809.02</v>
      </c>
      <c r="I58" s="4">
        <v>819.14</v>
      </c>
      <c r="J58" s="4">
        <v>824</v>
      </c>
      <c r="K58" s="4">
        <v>838.63</v>
      </c>
      <c r="L58" s="1414">
        <v>838.63</v>
      </c>
      <c r="M58" s="4">
        <v>839.9</v>
      </c>
      <c r="N58" s="4">
        <v>850.65</v>
      </c>
      <c r="O58" s="4">
        <v>860.8</v>
      </c>
      <c r="P58" s="4">
        <v>871.74</v>
      </c>
      <c r="Q58" s="1414">
        <v>871.74</v>
      </c>
      <c r="R58" s="4">
        <v>878.5</v>
      </c>
      <c r="S58" s="4">
        <v>885.14</v>
      </c>
      <c r="T58" s="4">
        <v>895.28</v>
      </c>
      <c r="U58" s="4">
        <v>897.55</v>
      </c>
      <c r="V58" s="1414">
        <v>897.55</v>
      </c>
      <c r="W58" s="85">
        <v>896.21</v>
      </c>
      <c r="X58" s="85">
        <v>893</v>
      </c>
      <c r="Y58" s="85">
        <v>892</v>
      </c>
      <c r="Z58" s="85">
        <v>889</v>
      </c>
      <c r="AA58" s="1418">
        <v>889</v>
      </c>
      <c r="AB58" s="4">
        <v>892</v>
      </c>
      <c r="AC58" s="4">
        <v>892</v>
      </c>
      <c r="AD58" s="4">
        <v>896</v>
      </c>
      <c r="AE58" s="4">
        <v>888</v>
      </c>
      <c r="AF58" s="1414">
        <v>888</v>
      </c>
      <c r="AG58" s="4">
        <v>885</v>
      </c>
      <c r="AH58" s="4">
        <v>884</v>
      </c>
      <c r="AI58" s="4">
        <v>885</v>
      </c>
      <c r="AJ58" s="4">
        <v>890</v>
      </c>
      <c r="AK58" s="1414">
        <v>890</v>
      </c>
      <c r="AL58" s="4">
        <v>890</v>
      </c>
      <c r="AM58" s="4">
        <v>892</v>
      </c>
      <c r="AN58" s="26">
        <v>896</v>
      </c>
      <c r="AO58" s="71">
        <v>900</v>
      </c>
      <c r="AP58" s="1424">
        <v>900</v>
      </c>
      <c r="AQ58" s="4">
        <v>899</v>
      </c>
      <c r="AR58" s="4">
        <v>901</v>
      </c>
      <c r="AS58" s="4">
        <v>900</v>
      </c>
      <c r="AT58" s="4">
        <v>899</v>
      </c>
      <c r="AU58" s="1414">
        <v>899</v>
      </c>
      <c r="AV58" s="4">
        <v>902</v>
      </c>
      <c r="AW58" s="4">
        <v>904</v>
      </c>
      <c r="AX58" s="4">
        <v>904</v>
      </c>
      <c r="AY58" s="4">
        <v>905</v>
      </c>
      <c r="AZ58" s="4">
        <v>906</v>
      </c>
      <c r="BA58" s="1414">
        <v>906</v>
      </c>
      <c r="BB58" s="4">
        <v>912</v>
      </c>
      <c r="BE58" s="1414"/>
    </row>
    <row r="59" spans="1:58">
      <c r="A59" s="1397"/>
      <c r="B59" s="91" t="s">
        <v>1233</v>
      </c>
      <c r="G59" s="1414"/>
      <c r="H59" s="1428"/>
      <c r="I59" s="1428"/>
      <c r="J59" s="1428"/>
      <c r="K59" s="1428"/>
      <c r="L59" s="1429"/>
      <c r="Q59" s="1414"/>
      <c r="R59" s="1428"/>
      <c r="S59" s="1428"/>
      <c r="T59" s="1428"/>
      <c r="U59" s="1428"/>
      <c r="V59" s="1429"/>
      <c r="W59" s="85"/>
      <c r="X59" s="85"/>
      <c r="Y59" s="85"/>
      <c r="Z59" s="85"/>
      <c r="AA59" s="1418"/>
      <c r="AF59" s="1418"/>
      <c r="AG59" s="1492" t="s">
        <v>100</v>
      </c>
      <c r="AH59" s="1492" t="s">
        <v>100</v>
      </c>
      <c r="AI59" s="1492" t="s">
        <v>100</v>
      </c>
      <c r="AJ59" s="1492" t="s">
        <v>100</v>
      </c>
      <c r="AK59" s="1507" t="s">
        <v>100</v>
      </c>
      <c r="AL59" s="1492" t="s">
        <v>100</v>
      </c>
      <c r="AM59" s="1492" t="s">
        <v>100</v>
      </c>
      <c r="AN59" s="37">
        <v>71</v>
      </c>
      <c r="AO59" s="49">
        <v>71</v>
      </c>
      <c r="AP59" s="1510">
        <v>71</v>
      </c>
      <c r="AQ59" s="1514">
        <v>78</v>
      </c>
      <c r="AR59" s="1524">
        <v>77</v>
      </c>
      <c r="AS59" s="1524">
        <v>76</v>
      </c>
      <c r="AT59" s="1514">
        <v>75</v>
      </c>
      <c r="AU59" s="1530">
        <v>75</v>
      </c>
      <c r="AV59" s="1514">
        <v>75</v>
      </c>
      <c r="AW59" s="1524">
        <v>76</v>
      </c>
      <c r="AX59" s="1524">
        <v>76</v>
      </c>
      <c r="AY59" s="1524">
        <v>76</v>
      </c>
      <c r="AZ59" s="1514">
        <v>74</v>
      </c>
      <c r="BA59" s="1530">
        <v>74</v>
      </c>
      <c r="BB59" s="1524">
        <v>74</v>
      </c>
      <c r="BC59" s="1524"/>
      <c r="BD59" s="1514"/>
      <c r="BE59" s="1530"/>
    </row>
    <row r="60" spans="1:58">
      <c r="A60" s="1397"/>
      <c r="B60" s="91" t="s">
        <v>1232</v>
      </c>
      <c r="C60" s="4">
        <v>455.04</v>
      </c>
      <c r="D60" s="4">
        <v>467.37</v>
      </c>
      <c r="E60" s="4">
        <v>483.23</v>
      </c>
      <c r="F60" s="4">
        <v>513.64</v>
      </c>
      <c r="G60" s="1414">
        <v>513.64</v>
      </c>
      <c r="H60" s="4">
        <v>523.92999999999995</v>
      </c>
      <c r="I60" s="4">
        <v>530.27</v>
      </c>
      <c r="J60" s="4">
        <v>541.05999999999995</v>
      </c>
      <c r="K60" s="4">
        <v>564.59</v>
      </c>
      <c r="L60" s="1414">
        <v>564.59</v>
      </c>
      <c r="M60" s="4">
        <v>567.72</v>
      </c>
      <c r="N60" s="4">
        <v>574.48</v>
      </c>
      <c r="O60" s="4">
        <v>579.94000000000005</v>
      </c>
      <c r="P60" s="4">
        <v>602.96</v>
      </c>
      <c r="Q60" s="1414">
        <v>602.96</v>
      </c>
      <c r="R60" s="4">
        <v>602.95000000000005</v>
      </c>
      <c r="S60" s="4">
        <v>604.82000000000005</v>
      </c>
      <c r="T60" s="4">
        <v>603.91999999999996</v>
      </c>
      <c r="U60" s="4">
        <v>616.27</v>
      </c>
      <c r="V60" s="1414">
        <v>616.27</v>
      </c>
      <c r="W60" s="85">
        <v>614.95000000000005</v>
      </c>
      <c r="X60" s="85">
        <v>617</v>
      </c>
      <c r="Y60" s="85">
        <v>617</v>
      </c>
      <c r="Z60" s="85">
        <v>618</v>
      </c>
      <c r="AA60" s="1418">
        <v>618</v>
      </c>
      <c r="AB60" s="4">
        <v>618</v>
      </c>
      <c r="AC60" s="4">
        <v>618</v>
      </c>
      <c r="AD60" s="4">
        <v>615</v>
      </c>
      <c r="AE60" s="4">
        <v>615</v>
      </c>
      <c r="AF60" s="1414">
        <v>615</v>
      </c>
      <c r="AG60" s="4">
        <v>615</v>
      </c>
      <c r="AH60" s="4">
        <v>611</v>
      </c>
      <c r="AI60" s="4">
        <v>610</v>
      </c>
      <c r="AJ60" s="4">
        <v>606</v>
      </c>
      <c r="AK60" s="1414">
        <v>606</v>
      </c>
      <c r="AL60" s="4">
        <v>606</v>
      </c>
      <c r="AM60" s="4">
        <v>606</v>
      </c>
      <c r="AN60" s="26">
        <v>607</v>
      </c>
      <c r="AO60" s="71">
        <v>598</v>
      </c>
      <c r="AP60" s="1424">
        <v>598</v>
      </c>
      <c r="AQ60" s="4">
        <v>598</v>
      </c>
      <c r="AR60" s="4">
        <v>598</v>
      </c>
      <c r="AS60" s="4">
        <v>594</v>
      </c>
      <c r="AT60" s="4">
        <v>593</v>
      </c>
      <c r="AU60" s="1414">
        <v>593</v>
      </c>
      <c r="AV60" s="4">
        <v>594</v>
      </c>
      <c r="AW60" s="4">
        <v>594</v>
      </c>
      <c r="AX60" s="4">
        <v>594</v>
      </c>
      <c r="AY60" s="4">
        <v>593</v>
      </c>
      <c r="AZ60" s="4">
        <v>593</v>
      </c>
      <c r="BA60" s="1414">
        <v>593</v>
      </c>
      <c r="BB60" s="4">
        <v>589</v>
      </c>
      <c r="BE60" s="1414"/>
    </row>
    <row r="61" spans="1:58">
      <c r="A61" s="1397"/>
      <c r="B61" s="92" t="s">
        <v>198</v>
      </c>
      <c r="C61" s="4">
        <v>56.49</v>
      </c>
      <c r="D61" s="4">
        <v>57.64</v>
      </c>
      <c r="E61" s="4">
        <v>58.49</v>
      </c>
      <c r="F61" s="4">
        <v>64.36</v>
      </c>
      <c r="G61" s="1414">
        <v>64.36</v>
      </c>
      <c r="H61" s="4">
        <v>65.13</v>
      </c>
      <c r="I61" s="4">
        <v>66.75</v>
      </c>
      <c r="J61" s="4">
        <v>66.95</v>
      </c>
      <c r="K61" s="4">
        <v>71.459999999999994</v>
      </c>
      <c r="L61" s="1414">
        <v>71.459999999999994</v>
      </c>
      <c r="M61" s="4">
        <v>71.53</v>
      </c>
      <c r="N61" s="4">
        <v>84.29</v>
      </c>
      <c r="O61" s="4">
        <v>94.73</v>
      </c>
      <c r="P61" s="4">
        <v>99.38</v>
      </c>
      <c r="Q61" s="1414">
        <v>99.38</v>
      </c>
      <c r="R61" s="4">
        <v>106.03</v>
      </c>
      <c r="S61" s="4">
        <v>111.69</v>
      </c>
      <c r="T61" s="4">
        <v>108.51</v>
      </c>
      <c r="U61" s="4">
        <v>122.72</v>
      </c>
      <c r="V61" s="1414">
        <v>122.72</v>
      </c>
      <c r="W61" s="85">
        <v>125.08</v>
      </c>
      <c r="X61" s="85">
        <v>127</v>
      </c>
      <c r="Y61" s="85">
        <v>128</v>
      </c>
      <c r="Z61" s="85">
        <v>129</v>
      </c>
      <c r="AA61" s="1418">
        <v>129</v>
      </c>
      <c r="AB61" s="4">
        <v>130</v>
      </c>
      <c r="AC61" s="4">
        <v>130</v>
      </c>
      <c r="AD61" s="4">
        <v>137</v>
      </c>
      <c r="AE61" s="4">
        <v>138</v>
      </c>
      <c r="AF61" s="1414">
        <v>138</v>
      </c>
      <c r="AG61" s="4">
        <v>139</v>
      </c>
      <c r="AH61" s="4">
        <v>139</v>
      </c>
      <c r="AI61" s="4">
        <v>140</v>
      </c>
      <c r="AJ61" s="4">
        <v>140</v>
      </c>
      <c r="AK61" s="1414">
        <v>140</v>
      </c>
      <c r="AL61" s="4">
        <v>140</v>
      </c>
      <c r="AM61" s="4">
        <v>141</v>
      </c>
      <c r="AN61" s="26">
        <v>143</v>
      </c>
      <c r="AO61" s="71">
        <v>144</v>
      </c>
      <c r="AP61" s="1424">
        <v>144</v>
      </c>
      <c r="AQ61" s="4">
        <v>144</v>
      </c>
      <c r="AR61" s="4">
        <v>144</v>
      </c>
      <c r="AS61" s="4">
        <v>144</v>
      </c>
      <c r="AT61" s="4">
        <v>144</v>
      </c>
      <c r="AU61" s="1414">
        <v>144</v>
      </c>
      <c r="AV61" s="4">
        <v>145</v>
      </c>
      <c r="AW61" s="4">
        <v>145</v>
      </c>
      <c r="AX61" s="4">
        <v>145</v>
      </c>
      <c r="AY61" s="4">
        <v>145</v>
      </c>
      <c r="AZ61" s="4">
        <v>146</v>
      </c>
      <c r="BA61" s="1414">
        <v>146</v>
      </c>
      <c r="BB61" s="4">
        <v>146</v>
      </c>
      <c r="BE61" s="1414"/>
    </row>
    <row r="62" spans="1:58">
      <c r="A62" s="1397"/>
      <c r="B62" s="92"/>
      <c r="E62" s="85"/>
      <c r="F62" s="85"/>
      <c r="H62" s="85"/>
      <c r="I62" s="85"/>
      <c r="J62" s="85"/>
      <c r="K62" s="85"/>
      <c r="L62" s="85"/>
      <c r="M62" s="85"/>
      <c r="N62" s="85"/>
      <c r="O62" s="85"/>
      <c r="P62" s="1409"/>
      <c r="Q62" s="1409"/>
      <c r="R62" s="85"/>
      <c r="S62" s="85"/>
      <c r="T62" s="85"/>
      <c r="U62" s="85"/>
      <c r="V62" s="85"/>
      <c r="W62" s="85"/>
      <c r="X62" s="85"/>
      <c r="Y62" s="85"/>
      <c r="Z62" s="1398"/>
      <c r="AA62" s="1398"/>
      <c r="AH62" s="1431"/>
      <c r="AM62" s="1431"/>
      <c r="AN62" s="1479"/>
      <c r="AO62" s="1431"/>
      <c r="AP62" s="1431"/>
      <c r="AR62" s="1528"/>
      <c r="AS62" s="1528"/>
      <c r="AW62" s="1528"/>
      <c r="AX62" s="1528"/>
      <c r="AY62" s="1528"/>
      <c r="BB62" s="1528"/>
      <c r="BC62" s="1528"/>
    </row>
    <row r="63" spans="1:58" s="43" customFormat="1">
      <c r="B63" s="1401" t="s">
        <v>1091</v>
      </c>
      <c r="C63" s="42">
        <v>1803.28</v>
      </c>
      <c r="D63" s="42">
        <v>1897.46</v>
      </c>
      <c r="E63" s="42">
        <v>2012.85</v>
      </c>
      <c r="F63" s="42">
        <v>2215.4299999999998</v>
      </c>
      <c r="G63" s="1412">
        <v>2215.4299999999998</v>
      </c>
      <c r="H63" s="42">
        <v>2334.65</v>
      </c>
      <c r="I63" s="42">
        <v>2511.84</v>
      </c>
      <c r="J63" s="42">
        <v>2722.98</v>
      </c>
      <c r="K63" s="42">
        <v>2939.04</v>
      </c>
      <c r="L63" s="1412">
        <v>2939.04</v>
      </c>
      <c r="M63" s="42">
        <v>3044.48</v>
      </c>
      <c r="N63" s="42">
        <v>3167.79</v>
      </c>
      <c r="O63" s="42">
        <v>3289.92</v>
      </c>
      <c r="P63" s="42">
        <v>3493.59</v>
      </c>
      <c r="Q63" s="1412">
        <v>3493.59</v>
      </c>
      <c r="R63" s="42">
        <v>3560.51</v>
      </c>
      <c r="S63" s="42">
        <v>3717.96</v>
      </c>
      <c r="T63" s="42">
        <v>3954.73</v>
      </c>
      <c r="U63" s="42">
        <v>4117.01</v>
      </c>
      <c r="V63" s="1412">
        <v>4117.01</v>
      </c>
      <c r="W63" s="42">
        <v>4192.09</v>
      </c>
      <c r="X63" s="42">
        <v>4306</v>
      </c>
      <c r="Y63" s="42">
        <v>4454</v>
      </c>
      <c r="Z63" s="42">
        <v>4787</v>
      </c>
      <c r="AA63" s="1412">
        <v>4787</v>
      </c>
      <c r="AB63" s="42">
        <v>5077</v>
      </c>
      <c r="AC63" s="42">
        <v>5293</v>
      </c>
      <c r="AD63" s="42">
        <v>5488</v>
      </c>
      <c r="AE63" s="42">
        <v>5589</v>
      </c>
      <c r="AF63" s="1412">
        <v>5589</v>
      </c>
      <c r="AG63" s="42">
        <v>5626</v>
      </c>
      <c r="AH63" s="42">
        <v>5643</v>
      </c>
      <c r="AI63" s="42">
        <v>5723</v>
      </c>
      <c r="AJ63" s="42">
        <v>5849</v>
      </c>
      <c r="AK63" s="1412">
        <v>5849</v>
      </c>
      <c r="AL63" s="72">
        <v>5957.4620000000004</v>
      </c>
      <c r="AM63" s="42">
        <v>6097.7079999999996</v>
      </c>
      <c r="AN63" s="42">
        <v>6942</v>
      </c>
      <c r="AO63" s="42">
        <v>7219</v>
      </c>
      <c r="AP63" s="1412">
        <v>7219</v>
      </c>
      <c r="AQ63" s="42">
        <v>7451</v>
      </c>
      <c r="AR63" s="1525">
        <v>7483</v>
      </c>
      <c r="AS63" s="1525">
        <v>7628</v>
      </c>
      <c r="AT63" s="42">
        <v>7750</v>
      </c>
      <c r="AU63" s="1412">
        <v>7750</v>
      </c>
      <c r="AV63" s="42">
        <v>7896</v>
      </c>
      <c r="AW63" s="1525">
        <v>8024</v>
      </c>
      <c r="AX63" s="1525">
        <v>8024</v>
      </c>
      <c r="AY63" s="1525">
        <v>8164</v>
      </c>
      <c r="AZ63" s="42">
        <v>8322</v>
      </c>
      <c r="BA63" s="1412">
        <v>8322</v>
      </c>
      <c r="BB63" s="1525">
        <v>8643</v>
      </c>
      <c r="BC63" s="1525"/>
      <c r="BD63" s="42"/>
      <c r="BE63" s="1412"/>
    </row>
    <row r="64" spans="1:58">
      <c r="A64" s="1397"/>
      <c r="B64" s="91" t="s">
        <v>1231</v>
      </c>
      <c r="C64" s="4">
        <v>1595.91</v>
      </c>
      <c r="D64" s="4">
        <v>1666.92</v>
      </c>
      <c r="E64" s="4">
        <v>1747.28</v>
      </c>
      <c r="F64" s="4">
        <v>1876.1</v>
      </c>
      <c r="G64" s="1414">
        <v>1876.1</v>
      </c>
      <c r="H64" s="4">
        <v>1945.66</v>
      </c>
      <c r="I64" s="4">
        <v>2047.11</v>
      </c>
      <c r="J64" s="4">
        <v>2173.3000000000002</v>
      </c>
      <c r="K64" s="4">
        <v>2280.9299999999998</v>
      </c>
      <c r="L64" s="1414">
        <v>2280.9299999999998</v>
      </c>
      <c r="M64" s="4">
        <v>2322.9699999999998</v>
      </c>
      <c r="N64" s="4">
        <v>2385.48</v>
      </c>
      <c r="O64" s="4">
        <v>2459</v>
      </c>
      <c r="P64" s="4">
        <v>2580.66</v>
      </c>
      <c r="Q64" s="1414">
        <v>2580.66</v>
      </c>
      <c r="R64" s="4">
        <v>2640.12</v>
      </c>
      <c r="S64" s="4">
        <v>2766.41</v>
      </c>
      <c r="T64" s="4">
        <v>2946.04</v>
      </c>
      <c r="U64" s="4">
        <v>3060.51</v>
      </c>
      <c r="V64" s="1414">
        <v>3060.51</v>
      </c>
      <c r="W64" s="85">
        <v>3114.86</v>
      </c>
      <c r="X64" s="85">
        <v>3199</v>
      </c>
      <c r="Y64" s="85">
        <v>3313</v>
      </c>
      <c r="Z64" s="85">
        <v>3555</v>
      </c>
      <c r="AA64" s="1418">
        <v>3555</v>
      </c>
      <c r="AB64" s="4">
        <v>3751</v>
      </c>
      <c r="AC64" s="4">
        <v>3885</v>
      </c>
      <c r="AD64" s="4">
        <v>4004</v>
      </c>
      <c r="AE64" s="4">
        <v>4064</v>
      </c>
      <c r="AF64" s="1414">
        <v>4064</v>
      </c>
      <c r="AG64" s="4">
        <v>4067</v>
      </c>
      <c r="AH64" s="4">
        <v>4072</v>
      </c>
      <c r="AI64" s="4">
        <v>4119</v>
      </c>
      <c r="AJ64" s="4">
        <v>4200</v>
      </c>
      <c r="AK64" s="1414">
        <v>4200</v>
      </c>
      <c r="AL64" s="4">
        <v>4279</v>
      </c>
      <c r="AM64" s="4">
        <v>4383</v>
      </c>
      <c r="AN64" s="26">
        <v>4514</v>
      </c>
      <c r="AO64" s="71">
        <v>4735</v>
      </c>
      <c r="AP64" s="1424">
        <v>4735</v>
      </c>
      <c r="AQ64" s="4">
        <v>4898</v>
      </c>
      <c r="AR64" s="1527">
        <v>4935</v>
      </c>
      <c r="AS64" s="1527">
        <v>5059</v>
      </c>
      <c r="AT64" s="4">
        <v>5163</v>
      </c>
      <c r="AU64" s="1414">
        <v>5163</v>
      </c>
      <c r="AV64" s="4">
        <v>5283</v>
      </c>
      <c r="AW64" s="1527">
        <v>5384</v>
      </c>
      <c r="AX64" s="1527">
        <v>5384</v>
      </c>
      <c r="AY64" s="1527">
        <v>5497</v>
      </c>
      <c r="AZ64" s="4">
        <v>5620</v>
      </c>
      <c r="BA64" s="1414">
        <v>5620</v>
      </c>
      <c r="BB64" s="1527">
        <v>5895</v>
      </c>
      <c r="BC64" s="1527"/>
      <c r="BE64" s="1414"/>
    </row>
    <row r="65" spans="1:57">
      <c r="B65" s="91" t="s">
        <v>1233</v>
      </c>
      <c r="G65" s="1414"/>
      <c r="H65" s="1428"/>
      <c r="I65" s="1428"/>
      <c r="J65" s="1428"/>
      <c r="K65" s="1428"/>
      <c r="L65" s="1429"/>
      <c r="Q65" s="1414"/>
      <c r="R65" s="1428"/>
      <c r="S65" s="1428"/>
      <c r="T65" s="1428"/>
      <c r="U65" s="1428"/>
      <c r="V65" s="1429"/>
      <c r="W65" s="85"/>
      <c r="X65" s="85"/>
      <c r="Y65" s="85"/>
      <c r="Z65" s="1398"/>
      <c r="AA65" s="1419"/>
      <c r="AF65" s="1414"/>
      <c r="AG65" s="1492" t="s">
        <v>100</v>
      </c>
      <c r="AH65" s="1492" t="s">
        <v>100</v>
      </c>
      <c r="AI65" s="1492" t="s">
        <v>100</v>
      </c>
      <c r="AJ65" s="1492" t="s">
        <v>100</v>
      </c>
      <c r="AK65" s="1507" t="s">
        <v>100</v>
      </c>
      <c r="AL65" s="1492" t="s">
        <v>100</v>
      </c>
      <c r="AM65" s="1492" t="s">
        <v>100</v>
      </c>
      <c r="AN65" s="37">
        <v>654</v>
      </c>
      <c r="AO65" s="49">
        <v>647</v>
      </c>
      <c r="AP65" s="1510">
        <v>647</v>
      </c>
      <c r="AQ65" s="1514">
        <v>679</v>
      </c>
      <c r="AR65" s="1524">
        <v>677</v>
      </c>
      <c r="AS65" s="1524">
        <v>641</v>
      </c>
      <c r="AT65" s="1514">
        <v>644</v>
      </c>
      <c r="AU65" s="1530">
        <v>644</v>
      </c>
      <c r="AV65" s="1514">
        <v>646</v>
      </c>
      <c r="AW65" s="1524">
        <v>652</v>
      </c>
      <c r="AX65" s="1524">
        <v>652</v>
      </c>
      <c r="AY65" s="1524">
        <v>656</v>
      </c>
      <c r="AZ65" s="1514">
        <v>665</v>
      </c>
      <c r="BA65" s="1530">
        <v>665</v>
      </c>
      <c r="BB65" s="1524">
        <v>682</v>
      </c>
      <c r="BC65" s="1524"/>
      <c r="BD65" s="1514"/>
      <c r="BE65" s="1530"/>
    </row>
    <row r="66" spans="1:57">
      <c r="A66" s="1397"/>
      <c r="B66" s="91" t="s">
        <v>1232</v>
      </c>
      <c r="C66" s="4">
        <v>96.57</v>
      </c>
      <c r="D66" s="4">
        <v>104.19</v>
      </c>
      <c r="E66" s="4">
        <v>117.58</v>
      </c>
      <c r="F66" s="4">
        <v>154.52000000000001</v>
      </c>
      <c r="G66" s="1414">
        <v>154.52000000000001</v>
      </c>
      <c r="H66" s="4">
        <v>169.22</v>
      </c>
      <c r="I66" s="4">
        <v>182.27</v>
      </c>
      <c r="J66" s="4">
        <v>203.72</v>
      </c>
      <c r="K66" s="4">
        <v>244.73</v>
      </c>
      <c r="L66" s="1414">
        <v>244.73</v>
      </c>
      <c r="M66" s="4">
        <v>257.95999999999998</v>
      </c>
      <c r="N66" s="4">
        <v>273.08</v>
      </c>
      <c r="O66" s="4">
        <v>275.74</v>
      </c>
      <c r="P66" s="4">
        <v>293.47000000000003</v>
      </c>
      <c r="Q66" s="1414">
        <v>293.47000000000003</v>
      </c>
      <c r="R66" s="4">
        <v>290.18</v>
      </c>
      <c r="S66" s="4">
        <v>295.16000000000003</v>
      </c>
      <c r="T66" s="4">
        <v>298.22000000000003</v>
      </c>
      <c r="U66" s="4">
        <v>314.36</v>
      </c>
      <c r="V66" s="1414">
        <v>314.36</v>
      </c>
      <c r="W66" s="85">
        <v>309.27999999999997</v>
      </c>
      <c r="X66" s="85">
        <v>316</v>
      </c>
      <c r="Y66" s="85">
        <v>314</v>
      </c>
      <c r="Z66" s="85">
        <v>324</v>
      </c>
      <c r="AA66" s="1418">
        <v>324</v>
      </c>
      <c r="AB66" s="4">
        <v>323</v>
      </c>
      <c r="AC66" s="4">
        <v>321</v>
      </c>
      <c r="AD66" s="4">
        <v>326</v>
      </c>
      <c r="AE66" s="4">
        <v>333</v>
      </c>
      <c r="AF66" s="1414">
        <v>333</v>
      </c>
      <c r="AG66" s="4">
        <v>332</v>
      </c>
      <c r="AH66" s="4">
        <v>333</v>
      </c>
      <c r="AI66" s="4">
        <v>330</v>
      </c>
      <c r="AJ66" s="4">
        <v>335</v>
      </c>
      <c r="AK66" s="1414">
        <v>335</v>
      </c>
      <c r="AL66" s="4">
        <v>337</v>
      </c>
      <c r="AM66" s="4">
        <v>337</v>
      </c>
      <c r="AN66" s="26">
        <v>334</v>
      </c>
      <c r="AO66" s="71">
        <v>339</v>
      </c>
      <c r="AP66" s="1424">
        <v>339</v>
      </c>
      <c r="AQ66" s="4">
        <v>337</v>
      </c>
      <c r="AR66" s="1527">
        <v>335</v>
      </c>
      <c r="AS66" s="1527">
        <v>392</v>
      </c>
      <c r="AT66" s="4">
        <v>391</v>
      </c>
      <c r="AU66" s="1414">
        <v>391</v>
      </c>
      <c r="AV66" s="4">
        <v>389</v>
      </c>
      <c r="AW66" s="1527">
        <v>386</v>
      </c>
      <c r="AX66" s="1527">
        <v>386</v>
      </c>
      <c r="AY66" s="1527">
        <v>388</v>
      </c>
      <c r="AZ66" s="4">
        <v>390</v>
      </c>
      <c r="BA66" s="1414">
        <v>390</v>
      </c>
      <c r="BB66" s="1527">
        <v>380</v>
      </c>
      <c r="BC66" s="1527"/>
      <c r="BE66" s="1414"/>
    </row>
    <row r="67" spans="1:57">
      <c r="A67" s="1397"/>
      <c r="B67" s="92" t="s">
        <v>198</v>
      </c>
      <c r="C67" s="4">
        <v>110.81</v>
      </c>
      <c r="D67" s="4">
        <v>126.35</v>
      </c>
      <c r="E67" s="4">
        <v>147.99</v>
      </c>
      <c r="F67" s="4">
        <v>184.81</v>
      </c>
      <c r="G67" s="1414">
        <v>184.81</v>
      </c>
      <c r="H67" s="4">
        <v>219.77</v>
      </c>
      <c r="I67" s="4">
        <v>282.45999999999998</v>
      </c>
      <c r="J67" s="4">
        <v>345.96</v>
      </c>
      <c r="K67" s="4">
        <v>413.38</v>
      </c>
      <c r="L67" s="1414">
        <v>413.38</v>
      </c>
      <c r="M67" s="4">
        <v>463.55</v>
      </c>
      <c r="N67" s="4">
        <v>509.23</v>
      </c>
      <c r="O67" s="4">
        <v>555.19000000000005</v>
      </c>
      <c r="P67" s="4">
        <v>619.46</v>
      </c>
      <c r="Q67" s="1414">
        <v>619.46</v>
      </c>
      <c r="R67" s="4">
        <v>630.21</v>
      </c>
      <c r="S67" s="4">
        <v>656.39</v>
      </c>
      <c r="T67" s="4">
        <v>710.35</v>
      </c>
      <c r="U67" s="4">
        <v>741.53</v>
      </c>
      <c r="V67" s="1414">
        <v>741.53</v>
      </c>
      <c r="W67" s="85">
        <v>767.38</v>
      </c>
      <c r="X67" s="85">
        <v>790</v>
      </c>
      <c r="Y67" s="85">
        <v>826</v>
      </c>
      <c r="Z67" s="85">
        <v>906</v>
      </c>
      <c r="AA67" s="1418">
        <v>906</v>
      </c>
      <c r="AB67" s="4">
        <v>1001</v>
      </c>
      <c r="AC67" s="4">
        <v>1078</v>
      </c>
      <c r="AD67" s="4">
        <v>1143</v>
      </c>
      <c r="AE67" s="4">
        <v>1165</v>
      </c>
      <c r="AF67" s="1414">
        <v>1165</v>
      </c>
      <c r="AG67" s="4">
        <v>1200</v>
      </c>
      <c r="AH67" s="4">
        <v>1211</v>
      </c>
      <c r="AI67" s="4">
        <v>1244</v>
      </c>
      <c r="AJ67" s="4">
        <v>1288</v>
      </c>
      <c r="AK67" s="1414">
        <v>1288</v>
      </c>
      <c r="AL67" s="4">
        <v>1320</v>
      </c>
      <c r="AM67" s="4">
        <v>1359</v>
      </c>
      <c r="AN67" s="26">
        <v>1402</v>
      </c>
      <c r="AO67" s="71">
        <v>1460</v>
      </c>
      <c r="AP67" s="1424">
        <v>1460</v>
      </c>
      <c r="AQ67" s="4">
        <v>1501</v>
      </c>
      <c r="AR67" s="1527">
        <v>1505</v>
      </c>
      <c r="AS67" s="1527">
        <v>1518</v>
      </c>
      <c r="AT67" s="4">
        <v>1534</v>
      </c>
      <c r="AU67" s="1414">
        <v>1534</v>
      </c>
      <c r="AV67" s="4">
        <v>1562</v>
      </c>
      <c r="AW67" s="1527">
        <v>1585</v>
      </c>
      <c r="AX67" s="1527">
        <v>1585</v>
      </c>
      <c r="AY67" s="1527">
        <v>1604</v>
      </c>
      <c r="AZ67" s="4">
        <v>1627</v>
      </c>
      <c r="BA67" s="1414">
        <v>1627</v>
      </c>
      <c r="BB67" s="1527">
        <v>1665</v>
      </c>
      <c r="BC67" s="1527"/>
      <c r="BE67" s="1414"/>
    </row>
    <row r="68" spans="1:57">
      <c r="B68" s="1399"/>
      <c r="E68" s="85"/>
      <c r="F68" s="85"/>
      <c r="H68" s="85"/>
      <c r="I68" s="85"/>
      <c r="J68" s="1398"/>
      <c r="K68" s="85"/>
      <c r="L68" s="85"/>
      <c r="M68" s="85"/>
      <c r="N68" s="85"/>
      <c r="O68" s="1398"/>
      <c r="R68" s="85"/>
      <c r="S68" s="85"/>
      <c r="T68" s="85"/>
      <c r="U68" s="1398"/>
      <c r="V68" s="1398"/>
      <c r="W68" s="85"/>
      <c r="X68" s="85"/>
      <c r="Y68" s="85"/>
      <c r="Z68" s="1398"/>
      <c r="AA68" s="1398"/>
      <c r="AR68" s="1527"/>
      <c r="AS68" s="1527"/>
      <c r="AW68" s="1527"/>
      <c r="AX68" s="1527"/>
      <c r="AY68" s="1527"/>
      <c r="BB68" s="1527"/>
      <c r="BC68" s="1527"/>
    </row>
    <row r="69" spans="1:57" ht="13.5" thickBot="1">
      <c r="B69" s="1426" t="s">
        <v>1154</v>
      </c>
      <c r="C69" s="1426"/>
      <c r="D69" s="1426"/>
      <c r="E69" s="1426"/>
      <c r="F69" s="1426"/>
      <c r="G69" s="1426"/>
      <c r="H69" s="1426"/>
      <c r="I69" s="1426"/>
      <c r="J69" s="1426"/>
      <c r="K69" s="1426"/>
      <c r="L69" s="1426"/>
      <c r="M69" s="1426"/>
      <c r="N69" s="1426"/>
      <c r="O69" s="1426"/>
      <c r="P69" s="1426"/>
      <c r="Q69" s="1426"/>
      <c r="R69" s="1426"/>
      <c r="S69" s="1426"/>
      <c r="T69" s="1426"/>
      <c r="U69" s="1426"/>
      <c r="V69" s="1426"/>
      <c r="W69" s="1426"/>
      <c r="X69" s="1426"/>
      <c r="Y69" s="1426"/>
      <c r="Z69" s="1426"/>
      <c r="AA69" s="1426"/>
      <c r="AB69" s="1426"/>
      <c r="AC69" s="1426"/>
      <c r="AD69" s="1426"/>
      <c r="AE69" s="1426"/>
      <c r="AF69" s="1426"/>
      <c r="AG69" s="1426"/>
      <c r="AH69" s="1426"/>
      <c r="AI69" s="1426"/>
      <c r="AJ69" s="1426"/>
      <c r="AK69" s="1426"/>
      <c r="AL69" s="1426"/>
      <c r="AM69" s="1426"/>
      <c r="AN69" s="1426"/>
      <c r="AO69" s="1426"/>
      <c r="AP69" s="1426"/>
      <c r="AQ69" s="1426"/>
      <c r="AR69" s="1426"/>
      <c r="AS69" s="1426"/>
      <c r="AT69" s="1426"/>
      <c r="AU69" s="1426"/>
      <c r="AV69" s="1426"/>
      <c r="AW69" s="1426"/>
      <c r="AX69" s="1426"/>
      <c r="AY69" s="1426"/>
      <c r="AZ69" s="1426"/>
      <c r="BA69" s="1426"/>
      <c r="BB69" s="1426"/>
      <c r="BC69" s="1426"/>
      <c r="BD69" s="1426"/>
      <c r="BE69" s="1426"/>
    </row>
    <row r="70" spans="1:57" s="43" customFormat="1">
      <c r="B70" s="1401" t="s">
        <v>149</v>
      </c>
      <c r="C70" s="42">
        <v>662.66</v>
      </c>
      <c r="D70" s="42">
        <v>737.81</v>
      </c>
      <c r="E70" s="42">
        <v>758.35</v>
      </c>
      <c r="F70" s="42">
        <v>785.28</v>
      </c>
      <c r="G70" s="1412">
        <v>2944.12</v>
      </c>
      <c r="H70" s="42">
        <v>766.34</v>
      </c>
      <c r="I70" s="42">
        <v>851.22</v>
      </c>
      <c r="J70" s="42">
        <v>863.42</v>
      </c>
      <c r="K70" s="42">
        <v>895.82</v>
      </c>
      <c r="L70" s="1412">
        <v>3376.86</v>
      </c>
      <c r="M70" s="42">
        <v>893.52</v>
      </c>
      <c r="N70" s="42">
        <v>971.04</v>
      </c>
      <c r="O70" s="42">
        <v>985.87</v>
      </c>
      <c r="P70" s="42">
        <v>966.69</v>
      </c>
      <c r="Q70" s="1412">
        <v>3817.13</v>
      </c>
      <c r="R70" s="42">
        <v>926.08</v>
      </c>
      <c r="S70" s="42">
        <v>1018.05</v>
      </c>
      <c r="T70" s="42">
        <v>1044.3599999999999</v>
      </c>
      <c r="U70" s="42">
        <v>1051.98</v>
      </c>
      <c r="V70" s="1412">
        <v>4040.5</v>
      </c>
      <c r="W70" s="42">
        <v>1004.717683</v>
      </c>
      <c r="X70" s="42">
        <v>1116</v>
      </c>
      <c r="Y70" s="42">
        <v>1137</v>
      </c>
      <c r="Z70" s="42">
        <v>1113</v>
      </c>
      <c r="AA70" s="1412">
        <v>4370</v>
      </c>
      <c r="AB70" s="42">
        <v>1057</v>
      </c>
      <c r="AC70" s="42">
        <v>1199</v>
      </c>
      <c r="AD70" s="42">
        <v>1217</v>
      </c>
      <c r="AE70" s="42">
        <v>1218</v>
      </c>
      <c r="AF70" s="1412">
        <v>4690</v>
      </c>
      <c r="AG70" s="42">
        <v>1195</v>
      </c>
      <c r="AH70" s="42">
        <v>1092</v>
      </c>
      <c r="AI70" s="42">
        <v>1200</v>
      </c>
      <c r="AJ70" s="42">
        <v>1155</v>
      </c>
      <c r="AK70" s="1412">
        <v>4641</v>
      </c>
      <c r="AL70" s="42">
        <v>1103</v>
      </c>
      <c r="AM70" s="42">
        <v>1243</v>
      </c>
      <c r="AN70" s="72">
        <v>1410</v>
      </c>
      <c r="AO70" s="42">
        <v>1391</v>
      </c>
      <c r="AP70" s="1412">
        <v>5147</v>
      </c>
      <c r="AQ70" s="42">
        <v>1357</v>
      </c>
      <c r="AR70" s="1525">
        <v>1499</v>
      </c>
      <c r="AS70" s="1525">
        <v>1564</v>
      </c>
      <c r="AT70" s="1335">
        <v>1512</v>
      </c>
      <c r="AU70" s="1531">
        <v>5932</v>
      </c>
      <c r="AV70" s="42">
        <v>1425</v>
      </c>
      <c r="AW70" s="1525">
        <v>1585</v>
      </c>
      <c r="AX70" s="1525">
        <v>3010</v>
      </c>
      <c r="AY70" s="1525">
        <v>1616</v>
      </c>
      <c r="AZ70" s="1335">
        <v>1564</v>
      </c>
      <c r="BA70" s="1531">
        <v>6190</v>
      </c>
      <c r="BB70" s="1525">
        <v>3185</v>
      </c>
      <c r="BC70" s="1525"/>
      <c r="BD70" s="1335"/>
      <c r="BE70" s="1531"/>
    </row>
    <row r="71" spans="1:57" s="85" customFormat="1">
      <c r="B71" s="91" t="s">
        <v>1231</v>
      </c>
      <c r="C71" s="4">
        <v>582.77</v>
      </c>
      <c r="D71" s="4">
        <v>647.16</v>
      </c>
      <c r="E71" s="4">
        <v>661.02</v>
      </c>
      <c r="F71" s="4">
        <v>676.19</v>
      </c>
      <c r="G71" s="1414">
        <v>2567.15</v>
      </c>
      <c r="H71" s="4">
        <v>658.09</v>
      </c>
      <c r="I71" s="4">
        <v>729.07</v>
      </c>
      <c r="J71" s="4">
        <v>732.07</v>
      </c>
      <c r="K71" s="4">
        <v>754.72</v>
      </c>
      <c r="L71" s="1414">
        <v>2874</v>
      </c>
      <c r="M71" s="4">
        <v>754.01</v>
      </c>
      <c r="N71" s="4">
        <v>825.26</v>
      </c>
      <c r="O71" s="4">
        <v>831.52</v>
      </c>
      <c r="P71" s="4">
        <v>809.3</v>
      </c>
      <c r="Q71" s="1414">
        <v>3220.1</v>
      </c>
      <c r="R71" s="4">
        <v>775.95</v>
      </c>
      <c r="S71" s="4">
        <v>859.83</v>
      </c>
      <c r="T71" s="4">
        <v>882.09999999999991</v>
      </c>
      <c r="U71" s="4">
        <v>885.75</v>
      </c>
      <c r="V71" s="1414">
        <v>3403.63</v>
      </c>
      <c r="W71" s="1400">
        <v>847.26</v>
      </c>
      <c r="X71" s="1400">
        <v>947</v>
      </c>
      <c r="Y71" s="1400">
        <v>960</v>
      </c>
      <c r="Z71" s="1400">
        <v>935</v>
      </c>
      <c r="AA71" s="1421">
        <v>3690</v>
      </c>
      <c r="AB71" s="1400">
        <v>891</v>
      </c>
      <c r="AC71" s="1400">
        <v>1021</v>
      </c>
      <c r="AD71" s="1400">
        <v>1028</v>
      </c>
      <c r="AE71" s="1400">
        <v>1022</v>
      </c>
      <c r="AF71" s="1421">
        <v>3963</v>
      </c>
      <c r="AG71" s="1400">
        <v>1002</v>
      </c>
      <c r="AH71" s="1400">
        <v>920</v>
      </c>
      <c r="AI71" s="1400">
        <v>1006</v>
      </c>
      <c r="AJ71" s="1400">
        <v>962</v>
      </c>
      <c r="AK71" s="1421">
        <v>3890</v>
      </c>
      <c r="AL71" s="1400">
        <v>922</v>
      </c>
      <c r="AM71" s="1400">
        <v>1051</v>
      </c>
      <c r="AN71" s="71">
        <v>1060</v>
      </c>
      <c r="AO71" s="4">
        <v>1010</v>
      </c>
      <c r="AP71" s="1414">
        <v>4044</v>
      </c>
      <c r="AQ71" s="1400">
        <v>991</v>
      </c>
      <c r="AR71" s="1526">
        <v>1114</v>
      </c>
      <c r="AS71" s="1526">
        <v>1169</v>
      </c>
      <c r="AT71" s="1400">
        <v>1129</v>
      </c>
      <c r="AU71" s="1421">
        <v>4403</v>
      </c>
      <c r="AV71" s="1400">
        <v>1075</v>
      </c>
      <c r="AW71" s="1526">
        <v>1207</v>
      </c>
      <c r="AX71" s="1526">
        <v>2282</v>
      </c>
      <c r="AY71" s="1526">
        <v>1233</v>
      </c>
      <c r="AZ71" s="1400">
        <v>1185</v>
      </c>
      <c r="BA71" s="1421">
        <v>4701</v>
      </c>
      <c r="BB71" s="1526">
        <v>2429</v>
      </c>
      <c r="BC71" s="1526"/>
      <c r="BD71" s="1400"/>
      <c r="BE71" s="1421"/>
    </row>
    <row r="72" spans="1:57" s="85" customFormat="1">
      <c r="B72" s="91" t="s">
        <v>1233</v>
      </c>
      <c r="C72" s="4"/>
      <c r="D72" s="4"/>
      <c r="E72" s="4"/>
      <c r="F72" s="4"/>
      <c r="G72" s="1414"/>
      <c r="H72" s="1428"/>
      <c r="I72" s="1428"/>
      <c r="J72" s="1428"/>
      <c r="K72" s="1428"/>
      <c r="L72" s="1429"/>
      <c r="M72" s="4"/>
      <c r="N72" s="4"/>
      <c r="O72" s="4"/>
      <c r="P72" s="4"/>
      <c r="Q72" s="1414"/>
      <c r="R72" s="1428"/>
      <c r="S72" s="1428"/>
      <c r="T72" s="1428"/>
      <c r="U72" s="1428"/>
      <c r="V72" s="1429"/>
      <c r="W72" s="1400"/>
      <c r="X72" s="1400"/>
      <c r="Y72" s="1400"/>
      <c r="Z72" s="1400"/>
      <c r="AA72" s="1421"/>
      <c r="AB72" s="1400"/>
      <c r="AC72" s="1400"/>
      <c r="AF72" s="1421"/>
      <c r="AG72" s="1492" t="s">
        <v>100</v>
      </c>
      <c r="AH72" s="1492" t="s">
        <v>100</v>
      </c>
      <c r="AI72" s="1492" t="s">
        <v>100</v>
      </c>
      <c r="AJ72" s="1492" t="s">
        <v>100</v>
      </c>
      <c r="AK72" s="1507" t="s">
        <v>100</v>
      </c>
      <c r="AL72" s="1492" t="s">
        <v>100</v>
      </c>
      <c r="AM72" s="1492" t="s">
        <v>100</v>
      </c>
      <c r="AN72" s="48">
        <v>148</v>
      </c>
      <c r="AO72" s="49">
        <v>183</v>
      </c>
      <c r="AP72" s="1510">
        <v>331</v>
      </c>
      <c r="AQ72" s="1514">
        <v>173</v>
      </c>
      <c r="AR72" s="1524">
        <v>187</v>
      </c>
      <c r="AS72" s="1524">
        <v>185</v>
      </c>
      <c r="AT72" s="1514">
        <v>170</v>
      </c>
      <c r="AU72" s="1530">
        <v>715</v>
      </c>
      <c r="AV72" s="1514">
        <v>157</v>
      </c>
      <c r="AW72" s="1524">
        <v>175</v>
      </c>
      <c r="AX72" s="1524">
        <v>332</v>
      </c>
      <c r="AY72" s="1524">
        <v>174</v>
      </c>
      <c r="AZ72" s="1514">
        <v>168</v>
      </c>
      <c r="BA72" s="1530">
        <v>674</v>
      </c>
      <c r="BB72" s="1524">
        <v>345</v>
      </c>
      <c r="BC72" s="1524"/>
      <c r="BD72" s="1514"/>
      <c r="BE72" s="1530"/>
    </row>
    <row r="73" spans="1:57" s="85" customFormat="1">
      <c r="B73" s="91" t="s">
        <v>1232</v>
      </c>
      <c r="C73" s="4">
        <v>64.599999999999994</v>
      </c>
      <c r="D73" s="4">
        <v>73.75</v>
      </c>
      <c r="E73" s="4">
        <v>75.98</v>
      </c>
      <c r="F73" s="4">
        <v>84.17</v>
      </c>
      <c r="G73" s="1414">
        <v>298.52</v>
      </c>
      <c r="H73" s="4">
        <v>81.900000000000006</v>
      </c>
      <c r="I73" s="4">
        <v>91.330000000000013</v>
      </c>
      <c r="J73" s="4">
        <v>92.27</v>
      </c>
      <c r="K73" s="4">
        <v>97.84</v>
      </c>
      <c r="L73" s="1414">
        <v>363.35</v>
      </c>
      <c r="M73" s="4">
        <v>95.08</v>
      </c>
      <c r="N73" s="4">
        <v>98.58</v>
      </c>
      <c r="O73" s="4">
        <v>98.800000000000011</v>
      </c>
      <c r="P73" s="4">
        <v>96.65</v>
      </c>
      <c r="Q73" s="1414">
        <v>389.1</v>
      </c>
      <c r="R73" s="4">
        <v>90.44</v>
      </c>
      <c r="S73" s="4">
        <v>97.050000000000011</v>
      </c>
      <c r="T73" s="4">
        <v>96.94</v>
      </c>
      <c r="U73" s="4">
        <v>98.84</v>
      </c>
      <c r="V73" s="1414">
        <v>383.28</v>
      </c>
      <c r="W73" s="1400">
        <v>92.1</v>
      </c>
      <c r="X73" s="1400">
        <v>100</v>
      </c>
      <c r="Y73" s="1400">
        <v>102</v>
      </c>
      <c r="Z73" s="1400">
        <v>101</v>
      </c>
      <c r="AA73" s="1421">
        <v>395</v>
      </c>
      <c r="AB73" s="1400">
        <v>90</v>
      </c>
      <c r="AC73" s="1400">
        <v>97</v>
      </c>
      <c r="AD73" s="1400">
        <v>96</v>
      </c>
      <c r="AE73" s="1400">
        <v>95</v>
      </c>
      <c r="AF73" s="1421">
        <v>379</v>
      </c>
      <c r="AG73" s="1400">
        <v>90</v>
      </c>
      <c r="AH73" s="1400">
        <v>78</v>
      </c>
      <c r="AI73" s="1400">
        <v>86</v>
      </c>
      <c r="AJ73" s="1400">
        <v>84</v>
      </c>
      <c r="AK73" s="1421">
        <v>338</v>
      </c>
      <c r="AL73" s="1400">
        <v>79</v>
      </c>
      <c r="AM73" s="1400">
        <v>86</v>
      </c>
      <c r="AN73" s="71">
        <v>84</v>
      </c>
      <c r="AO73" s="4">
        <v>79</v>
      </c>
      <c r="AP73" s="1414">
        <v>328</v>
      </c>
      <c r="AQ73" s="1400">
        <v>76</v>
      </c>
      <c r="AR73" s="1526">
        <v>82</v>
      </c>
      <c r="AS73" s="1526">
        <v>87</v>
      </c>
      <c r="AT73" s="1400">
        <v>88</v>
      </c>
      <c r="AU73" s="1421">
        <v>333</v>
      </c>
      <c r="AV73" s="1400">
        <v>83</v>
      </c>
      <c r="AW73" s="1526">
        <v>87</v>
      </c>
      <c r="AX73" s="1526">
        <v>170</v>
      </c>
      <c r="AY73" s="1526">
        <v>87</v>
      </c>
      <c r="AZ73" s="1400">
        <v>85</v>
      </c>
      <c r="BA73" s="1421">
        <v>342</v>
      </c>
      <c r="BB73" s="1526">
        <v>163</v>
      </c>
      <c r="BC73" s="1526"/>
      <c r="BD73" s="1400"/>
      <c r="BE73" s="1421"/>
    </row>
    <row r="74" spans="1:57" s="85" customFormat="1">
      <c r="B74" s="92" t="s">
        <v>198</v>
      </c>
      <c r="C74" s="4">
        <v>15.29</v>
      </c>
      <c r="D74" s="4">
        <v>16.899999999999999</v>
      </c>
      <c r="E74" s="4">
        <v>21.35</v>
      </c>
      <c r="F74" s="4">
        <v>24.91</v>
      </c>
      <c r="G74" s="1414">
        <v>78.45</v>
      </c>
      <c r="H74" s="4">
        <v>26.35</v>
      </c>
      <c r="I74" s="4">
        <v>30.82</v>
      </c>
      <c r="J74" s="4">
        <v>39.08</v>
      </c>
      <c r="K74" s="4">
        <v>43.26</v>
      </c>
      <c r="L74" s="1414">
        <v>139.51</v>
      </c>
      <c r="M74" s="4">
        <v>44.44</v>
      </c>
      <c r="N74" s="4">
        <v>47.21</v>
      </c>
      <c r="O74" s="4">
        <v>55.55</v>
      </c>
      <c r="P74" s="4">
        <v>60.74</v>
      </c>
      <c r="Q74" s="1414">
        <v>207.93</v>
      </c>
      <c r="R74" s="4">
        <v>59.69</v>
      </c>
      <c r="S74" s="4">
        <v>61.17</v>
      </c>
      <c r="T74" s="4">
        <v>65.27</v>
      </c>
      <c r="U74" s="4">
        <v>67.22</v>
      </c>
      <c r="V74" s="1414">
        <v>253.37</v>
      </c>
      <c r="W74" s="1400">
        <v>64.87</v>
      </c>
      <c r="X74" s="1400">
        <v>68</v>
      </c>
      <c r="Y74" s="1400">
        <v>73</v>
      </c>
      <c r="Z74" s="1400">
        <v>76</v>
      </c>
      <c r="AA74" s="1421">
        <v>283</v>
      </c>
      <c r="AB74" s="1400">
        <v>75</v>
      </c>
      <c r="AC74" s="1400">
        <v>79</v>
      </c>
      <c r="AD74" s="1400">
        <v>90</v>
      </c>
      <c r="AE74" s="1400">
        <v>95</v>
      </c>
      <c r="AF74" s="1421">
        <v>339</v>
      </c>
      <c r="AG74" s="1400">
        <v>95</v>
      </c>
      <c r="AH74" s="1400">
        <v>87</v>
      </c>
      <c r="AI74" s="1400">
        <v>99</v>
      </c>
      <c r="AJ74" s="1400">
        <v>100</v>
      </c>
      <c r="AK74" s="1421">
        <v>380</v>
      </c>
      <c r="AL74" s="1400">
        <v>94</v>
      </c>
      <c r="AM74" s="1400">
        <v>99</v>
      </c>
      <c r="AN74" s="71">
        <v>108</v>
      </c>
      <c r="AO74" s="4">
        <v>107</v>
      </c>
      <c r="AP74" s="1414">
        <v>408</v>
      </c>
      <c r="AQ74" s="1400">
        <v>105</v>
      </c>
      <c r="AR74" s="1526">
        <v>106</v>
      </c>
      <c r="AS74" s="1526">
        <v>117</v>
      </c>
      <c r="AT74" s="1400">
        <v>117</v>
      </c>
      <c r="AU74" s="1421">
        <v>445</v>
      </c>
      <c r="AV74" s="1400">
        <v>104</v>
      </c>
      <c r="AW74" s="1526">
        <v>108</v>
      </c>
      <c r="AX74" s="1526">
        <v>213</v>
      </c>
      <c r="AY74" s="1526">
        <v>114</v>
      </c>
      <c r="AZ74" s="1400">
        <v>115</v>
      </c>
      <c r="BA74" s="1421">
        <v>441</v>
      </c>
      <c r="BB74" s="1526">
        <v>223</v>
      </c>
      <c r="BC74" s="1526"/>
      <c r="BD74" s="1400"/>
      <c r="BE74" s="1421"/>
    </row>
    <row r="75" spans="1:57">
      <c r="B75" s="92"/>
      <c r="C75" s="1409"/>
      <c r="D75" s="1409"/>
      <c r="E75" s="1409"/>
      <c r="F75" s="1409"/>
      <c r="G75" s="1409"/>
      <c r="T75" s="1398"/>
    </row>
    <row r="76" spans="1:57" s="43" customFormat="1">
      <c r="B76" s="1401" t="s">
        <v>130</v>
      </c>
      <c r="C76" s="42">
        <v>247.41470337578846</v>
      </c>
      <c r="D76" s="42">
        <v>250.67687504849494</v>
      </c>
      <c r="E76" s="42">
        <v>255.00697612773783</v>
      </c>
      <c r="F76" s="42">
        <v>280.70629544621022</v>
      </c>
      <c r="G76" s="1412">
        <v>259.06597217504725</v>
      </c>
      <c r="H76" s="42">
        <v>284.77147741211473</v>
      </c>
      <c r="I76" s="42">
        <v>276.62212706468364</v>
      </c>
      <c r="J76" s="42">
        <v>272.11258121677497</v>
      </c>
      <c r="K76" s="42">
        <v>289.29110758857803</v>
      </c>
      <c r="L76" s="1412">
        <v>280.67523883134032</v>
      </c>
      <c r="M76" s="42">
        <v>284.75580065359475</v>
      </c>
      <c r="N76" s="42">
        <v>272.92778258362171</v>
      </c>
      <c r="O76" s="42">
        <v>271.11317110775252</v>
      </c>
      <c r="P76" s="42">
        <v>292.19781625960752</v>
      </c>
      <c r="Q76" s="1412">
        <v>280.10726540620828</v>
      </c>
      <c r="R76" s="42">
        <v>285.68948709398757</v>
      </c>
      <c r="S76" s="42">
        <v>279.62272709493641</v>
      </c>
      <c r="T76" s="42">
        <v>270.67361481399917</v>
      </c>
      <c r="U76" s="42">
        <v>284.4102340577989</v>
      </c>
      <c r="V76" s="1412">
        <v>279.94384486625989</v>
      </c>
      <c r="W76" s="42">
        <v>283.5892714783746</v>
      </c>
      <c r="X76" s="42">
        <v>268.69371750806141</v>
      </c>
      <c r="Y76" s="42">
        <v>268.54074214467272</v>
      </c>
      <c r="Z76" s="42">
        <v>293.74919240079095</v>
      </c>
      <c r="AA76" s="1412">
        <v>278.4584243415411</v>
      </c>
      <c r="AB76" s="42">
        <v>293.52222093167472</v>
      </c>
      <c r="AC76" s="42">
        <v>277.71723530454136</v>
      </c>
      <c r="AD76" s="42">
        <v>274</v>
      </c>
      <c r="AE76" s="42">
        <v>293</v>
      </c>
      <c r="AF76" s="1412">
        <v>284</v>
      </c>
      <c r="AG76" s="42">
        <v>305</v>
      </c>
      <c r="AH76" s="42">
        <v>347</v>
      </c>
      <c r="AI76" s="42">
        <v>309</v>
      </c>
      <c r="AJ76" s="42">
        <v>342</v>
      </c>
      <c r="AK76" s="1412">
        <v>325</v>
      </c>
      <c r="AL76" s="42">
        <v>352</v>
      </c>
      <c r="AM76" s="42">
        <v>333</v>
      </c>
      <c r="AN76" s="72">
        <v>337</v>
      </c>
      <c r="AO76" s="42">
        <v>382</v>
      </c>
      <c r="AP76" s="1412">
        <v>351</v>
      </c>
      <c r="AQ76" s="42">
        <v>394</v>
      </c>
      <c r="AR76" s="1525">
        <v>386</v>
      </c>
      <c r="AS76" s="1525">
        <v>373</v>
      </c>
      <c r="AT76" s="1335">
        <v>399</v>
      </c>
      <c r="AU76" s="1531">
        <v>388</v>
      </c>
      <c r="AV76" s="42">
        <v>409</v>
      </c>
      <c r="AW76" s="1525">
        <v>392</v>
      </c>
      <c r="AX76" s="1525">
        <v>400</v>
      </c>
      <c r="AY76" s="1525">
        <v>386</v>
      </c>
      <c r="AZ76" s="1335">
        <v>436</v>
      </c>
      <c r="BA76" s="1531">
        <v>405</v>
      </c>
      <c r="BB76" s="1525">
        <v>440</v>
      </c>
      <c r="BC76" s="1525"/>
      <c r="BD76" s="1335"/>
      <c r="BE76" s="1531"/>
    </row>
    <row r="77" spans="1:57">
      <c r="B77" s="91" t="s">
        <v>1231</v>
      </c>
      <c r="C77" s="4">
        <v>216.2436476216003</v>
      </c>
      <c r="D77" s="4">
        <v>217.8159002271463</v>
      </c>
      <c r="E77" s="4">
        <v>222.97490441892833</v>
      </c>
      <c r="F77" s="4">
        <v>241.65228049364825</v>
      </c>
      <c r="G77" s="1414">
        <v>225.06506047562473</v>
      </c>
      <c r="H77" s="4">
        <v>247.07277762160192</v>
      </c>
      <c r="I77" s="4">
        <v>241.18073011782133</v>
      </c>
      <c r="J77" s="4">
        <v>237.5617725559031</v>
      </c>
      <c r="K77" s="4">
        <v>250.33038078360187</v>
      </c>
      <c r="L77" s="1414">
        <v>244.00659392901878</v>
      </c>
      <c r="M77" s="4">
        <v>248.68336071670137</v>
      </c>
      <c r="N77" s="4">
        <v>239.33996336306134</v>
      </c>
      <c r="O77" s="4">
        <v>237.7447937920916</v>
      </c>
      <c r="P77" s="4">
        <v>256.32037151241815</v>
      </c>
      <c r="Q77" s="1414">
        <v>245.3827727641999</v>
      </c>
      <c r="R77" s="4">
        <v>254.24584153102649</v>
      </c>
      <c r="S77" s="4">
        <v>249.50832938720441</v>
      </c>
      <c r="T77" s="4">
        <v>240.30910509352682</v>
      </c>
      <c r="U77" s="4">
        <v>250.99578107898549</v>
      </c>
      <c r="V77" s="1414">
        <v>248.59135167063147</v>
      </c>
      <c r="W77" s="4">
        <v>254.11312206853449</v>
      </c>
      <c r="X77" s="4">
        <v>241.04152619409814</v>
      </c>
      <c r="Y77" s="4">
        <v>239.15567318728282</v>
      </c>
      <c r="Z77" s="4">
        <v>261.49240932808129</v>
      </c>
      <c r="AA77" s="1414">
        <v>248.73446805949024</v>
      </c>
      <c r="AB77" s="4">
        <v>266.53596264542591</v>
      </c>
      <c r="AC77" s="4">
        <v>252.91175344023063</v>
      </c>
      <c r="AD77" s="4">
        <v>247</v>
      </c>
      <c r="AE77" s="4">
        <v>264</v>
      </c>
      <c r="AF77" s="1414">
        <v>258</v>
      </c>
      <c r="AG77" s="4">
        <v>279</v>
      </c>
      <c r="AH77" s="4">
        <v>322</v>
      </c>
      <c r="AI77" s="4">
        <v>283</v>
      </c>
      <c r="AJ77" s="4">
        <v>313</v>
      </c>
      <c r="AK77" s="1414">
        <v>299</v>
      </c>
      <c r="AL77" s="4">
        <v>325</v>
      </c>
      <c r="AM77" s="4">
        <v>309</v>
      </c>
      <c r="AN77" s="4">
        <v>311</v>
      </c>
      <c r="AO77" s="4">
        <v>352</v>
      </c>
      <c r="AP77" s="1414">
        <v>324</v>
      </c>
      <c r="AQ77" s="4">
        <v>361</v>
      </c>
      <c r="AR77" s="1527">
        <v>356</v>
      </c>
      <c r="AS77" s="1527">
        <v>343</v>
      </c>
      <c r="AT77" s="4">
        <v>367</v>
      </c>
      <c r="AU77" s="1414">
        <v>357</v>
      </c>
      <c r="AV77" s="4">
        <v>378</v>
      </c>
      <c r="AW77" s="1527">
        <v>362</v>
      </c>
      <c r="AX77" s="1527">
        <v>369</v>
      </c>
      <c r="AY77" s="1527">
        <v>355</v>
      </c>
      <c r="AZ77" s="4">
        <v>402</v>
      </c>
      <c r="BA77" s="1414">
        <v>374</v>
      </c>
      <c r="BB77" s="1527">
        <v>410</v>
      </c>
      <c r="BC77" s="1527"/>
      <c r="BE77" s="1414"/>
    </row>
    <row r="78" spans="1:57">
      <c r="B78" s="91" t="s">
        <v>1233</v>
      </c>
      <c r="G78" s="1414"/>
      <c r="H78" s="1428"/>
      <c r="I78" s="1428"/>
      <c r="J78" s="1428"/>
      <c r="K78" s="1428"/>
      <c r="L78" s="1429"/>
      <c r="Q78" s="1414"/>
      <c r="R78" s="1428"/>
      <c r="S78" s="1428"/>
      <c r="T78" s="1428"/>
      <c r="U78" s="1428"/>
      <c r="V78" s="1429"/>
      <c r="AA78" s="1414"/>
      <c r="AF78" s="1414"/>
      <c r="AG78" s="1492" t="s">
        <v>100</v>
      </c>
      <c r="AH78" s="1492" t="s">
        <v>100</v>
      </c>
      <c r="AI78" s="1492" t="s">
        <v>100</v>
      </c>
      <c r="AJ78" s="1492" t="s">
        <v>100</v>
      </c>
      <c r="AK78" s="1507" t="s">
        <v>100</v>
      </c>
      <c r="AL78" s="1492" t="s">
        <v>100</v>
      </c>
      <c r="AM78" s="1492" t="s">
        <v>100</v>
      </c>
      <c r="AN78" s="48">
        <v>341</v>
      </c>
      <c r="AO78" s="49">
        <v>383</v>
      </c>
      <c r="AP78" s="1510">
        <v>364</v>
      </c>
      <c r="AQ78" s="1514">
        <v>408</v>
      </c>
      <c r="AR78" s="1524">
        <v>406</v>
      </c>
      <c r="AS78" s="1524">
        <v>377</v>
      </c>
      <c r="AT78" s="1514">
        <v>404</v>
      </c>
      <c r="AU78" s="1530">
        <v>398</v>
      </c>
      <c r="AV78" s="1514">
        <v>426</v>
      </c>
      <c r="AW78" s="1524">
        <v>408</v>
      </c>
      <c r="AX78" s="1524">
        <v>416</v>
      </c>
      <c r="AY78" s="1524">
        <v>400</v>
      </c>
      <c r="AZ78" s="1514">
        <v>451</v>
      </c>
      <c r="BA78" s="1530">
        <v>421</v>
      </c>
      <c r="BB78" s="1524">
        <v>458</v>
      </c>
      <c r="BC78" s="1524"/>
      <c r="BD78" s="1514"/>
      <c r="BE78" s="1530"/>
    </row>
    <row r="79" spans="1:57">
      <c r="B79" s="91" t="s">
        <v>1232</v>
      </c>
      <c r="C79" s="4">
        <v>526.987343126935</v>
      </c>
      <c r="D79" s="4">
        <v>543.00504568135591</v>
      </c>
      <c r="E79" s="4">
        <v>536.59424881547784</v>
      </c>
      <c r="F79" s="4">
        <v>597.93779957229413</v>
      </c>
      <c r="G79" s="1414">
        <v>553.35943990352405</v>
      </c>
      <c r="H79" s="4">
        <v>590.14223327228319</v>
      </c>
      <c r="I79" s="4">
        <v>562.52383008868924</v>
      </c>
      <c r="J79" s="4">
        <v>540.54848110978651</v>
      </c>
      <c r="K79" s="4">
        <v>580.74014713818474</v>
      </c>
      <c r="L79" s="1414">
        <v>568.05827619375259</v>
      </c>
      <c r="M79" s="4">
        <v>557.29894123895667</v>
      </c>
      <c r="N79" s="4">
        <v>542.31545539663216</v>
      </c>
      <c r="O79" s="4">
        <v>532.32602554655864</v>
      </c>
      <c r="P79" s="4">
        <v>574.81739426797719</v>
      </c>
      <c r="Q79" s="1414">
        <v>551.52750811102544</v>
      </c>
      <c r="R79" s="4">
        <v>537.97898431003978</v>
      </c>
      <c r="S79" s="4">
        <v>533.84424028851106</v>
      </c>
      <c r="T79" s="4">
        <v>523.00922631253229</v>
      </c>
      <c r="U79" s="4">
        <v>556.90170817896205</v>
      </c>
      <c r="V79" s="1414">
        <v>538.02523530684778</v>
      </c>
      <c r="W79" s="4">
        <v>527.16754992868414</v>
      </c>
      <c r="X79" s="4">
        <v>504.75881607141866</v>
      </c>
      <c r="Y79" s="4">
        <v>509.20252716704607</v>
      </c>
      <c r="Z79" s="4">
        <v>558.3829808649881</v>
      </c>
      <c r="AA79" s="1414">
        <v>524.79187560230605</v>
      </c>
      <c r="AB79" s="4">
        <v>527.74022628169234</v>
      </c>
      <c r="AC79" s="4">
        <v>506.84072650842262</v>
      </c>
      <c r="AD79" s="4">
        <v>512</v>
      </c>
      <c r="AE79" s="4">
        <v>567</v>
      </c>
      <c r="AF79" s="1414">
        <v>528</v>
      </c>
      <c r="AG79" s="4">
        <v>566</v>
      </c>
      <c r="AH79" s="4">
        <v>643</v>
      </c>
      <c r="AI79" s="4">
        <v>566</v>
      </c>
      <c r="AJ79" s="4">
        <v>643</v>
      </c>
      <c r="AK79" s="1414">
        <v>603</v>
      </c>
      <c r="AL79" s="4">
        <v>636</v>
      </c>
      <c r="AM79" s="4">
        <v>602</v>
      </c>
      <c r="AN79" s="4">
        <v>602</v>
      </c>
      <c r="AO79" s="4">
        <v>708</v>
      </c>
      <c r="AP79" s="1414">
        <v>636</v>
      </c>
      <c r="AQ79" s="4">
        <v>707</v>
      </c>
      <c r="AR79" s="1527">
        <v>691</v>
      </c>
      <c r="AS79" s="1527">
        <v>672</v>
      </c>
      <c r="AT79" s="4">
        <v>738</v>
      </c>
      <c r="AU79" s="1414">
        <v>702</v>
      </c>
      <c r="AV79" s="4">
        <v>724</v>
      </c>
      <c r="AW79" s="1527">
        <v>709</v>
      </c>
      <c r="AX79" s="1527">
        <v>717</v>
      </c>
      <c r="AY79" s="1527">
        <v>706</v>
      </c>
      <c r="AZ79" s="4">
        <v>821</v>
      </c>
      <c r="BA79" s="1414">
        <v>740</v>
      </c>
      <c r="BB79" s="1527">
        <v>783</v>
      </c>
      <c r="BC79" s="1527"/>
      <c r="BE79" s="1414"/>
    </row>
    <row r="80" spans="1:57">
      <c r="B80" s="92" t="s">
        <v>198</v>
      </c>
      <c r="C80" s="4">
        <v>254.29263767168086</v>
      </c>
      <c r="D80" s="4">
        <v>233.34586218934913</v>
      </c>
      <c r="E80" s="4">
        <v>244.64814997658078</v>
      </c>
      <c r="F80" s="4">
        <v>269.03893853873944</v>
      </c>
      <c r="G80" s="1414">
        <v>251.8378585086042</v>
      </c>
      <c r="H80" s="4">
        <v>277.15372060721063</v>
      </c>
      <c r="I80" s="4">
        <v>267.79205298507463</v>
      </c>
      <c r="J80" s="4">
        <v>285.61696220573185</v>
      </c>
      <c r="K80" s="4">
        <v>309.8427778779473</v>
      </c>
      <c r="L80" s="1414">
        <v>287.59272500179202</v>
      </c>
      <c r="M80" s="4">
        <v>313.62013123312335</v>
      </c>
      <c r="N80" s="4">
        <v>297.49287331073924</v>
      </c>
      <c r="O80" s="4">
        <v>306.01223182718275</v>
      </c>
      <c r="P80" s="4">
        <v>320.52237711557456</v>
      </c>
      <c r="Q80" s="1414">
        <v>309.95732143028903</v>
      </c>
      <c r="R80" s="4">
        <v>312.18696818562574</v>
      </c>
      <c r="S80" s="4">
        <v>299.58455030243584</v>
      </c>
      <c r="T80" s="4">
        <v>306.05632063936315</v>
      </c>
      <c r="U80" s="4">
        <v>324.11481243807361</v>
      </c>
      <c r="V80" s="1414">
        <v>310.74168945195436</v>
      </c>
      <c r="W80" s="4">
        <v>322.87045507830521</v>
      </c>
      <c r="X80" s="4">
        <v>306.41160672933188</v>
      </c>
      <c r="Y80" s="4">
        <v>317.09201300342909</v>
      </c>
      <c r="Z80" s="4">
        <v>339.69282868958004</v>
      </c>
      <c r="AA80" s="1414">
        <v>321.95809165072842</v>
      </c>
      <c r="AB80" s="4">
        <v>331.78842578309235</v>
      </c>
      <c r="AC80" s="4">
        <v>316.60514654725733</v>
      </c>
      <c r="AD80" s="4">
        <v>321</v>
      </c>
      <c r="AE80" s="4">
        <v>327</v>
      </c>
      <c r="AF80" s="1414">
        <v>324</v>
      </c>
      <c r="AG80" s="4">
        <v>332</v>
      </c>
      <c r="AH80" s="4">
        <v>356</v>
      </c>
      <c r="AI80" s="4">
        <v>353</v>
      </c>
      <c r="AJ80" s="4">
        <v>371</v>
      </c>
      <c r="AK80" s="1414">
        <v>353</v>
      </c>
      <c r="AL80" s="4">
        <v>373</v>
      </c>
      <c r="AM80" s="4">
        <v>356</v>
      </c>
      <c r="AN80" s="4">
        <v>367</v>
      </c>
      <c r="AO80" s="4">
        <v>396</v>
      </c>
      <c r="AP80" s="1414">
        <v>373</v>
      </c>
      <c r="AQ80" s="4">
        <v>436</v>
      </c>
      <c r="AR80" s="1527">
        <v>417</v>
      </c>
      <c r="AS80" s="1527">
        <v>435</v>
      </c>
      <c r="AT80" s="4">
        <v>442</v>
      </c>
      <c r="AU80" s="1414">
        <v>433</v>
      </c>
      <c r="AV80" s="4">
        <v>451</v>
      </c>
      <c r="AW80" s="1527">
        <v>440</v>
      </c>
      <c r="AX80" s="1527">
        <v>445</v>
      </c>
      <c r="AY80" s="1527">
        <v>451</v>
      </c>
      <c r="AZ80" s="4">
        <v>476</v>
      </c>
      <c r="BA80" s="1414">
        <v>455</v>
      </c>
      <c r="BB80" s="1527">
        <v>488</v>
      </c>
      <c r="BC80" s="1527"/>
      <c r="BE80" s="1414"/>
    </row>
    <row r="81" spans="2:72">
      <c r="B81" s="92"/>
      <c r="C81" s="1398"/>
      <c r="D81" s="1398"/>
      <c r="E81" s="1398"/>
      <c r="F81" s="1398"/>
      <c r="G81" s="1398"/>
    </row>
    <row r="82" spans="2:72" ht="13.5" thickBot="1">
      <c r="B82" s="1426" t="s">
        <v>1156</v>
      </c>
      <c r="C82" s="1426"/>
      <c r="D82" s="1426"/>
      <c r="E82" s="1426"/>
      <c r="F82" s="1426"/>
      <c r="G82" s="1426"/>
      <c r="H82" s="1426"/>
      <c r="I82" s="1426"/>
      <c r="J82" s="1426"/>
      <c r="K82" s="1426"/>
      <c r="L82" s="1426"/>
      <c r="M82" s="1426"/>
      <c r="N82" s="1426"/>
      <c r="O82" s="1426"/>
      <c r="P82" s="1426"/>
      <c r="Q82" s="1426"/>
      <c r="R82" s="1426"/>
      <c r="S82" s="1426"/>
      <c r="T82" s="1426"/>
      <c r="U82" s="1426"/>
      <c r="V82" s="1426"/>
      <c r="W82" s="1426"/>
      <c r="X82" s="1426"/>
      <c r="Y82" s="1426"/>
      <c r="Z82" s="1426"/>
      <c r="AA82" s="1426"/>
      <c r="AB82" s="1426"/>
      <c r="AC82" s="1426"/>
      <c r="AD82" s="1426"/>
      <c r="AE82" s="1426"/>
      <c r="AF82" s="1426"/>
      <c r="AG82" s="1426"/>
      <c r="AH82" s="1426"/>
      <c r="AI82" s="1426"/>
      <c r="AJ82" s="1426"/>
      <c r="AK82" s="1426"/>
      <c r="AL82" s="1426"/>
      <c r="AM82" s="1426"/>
      <c r="AN82" s="1426"/>
      <c r="AO82" s="1426"/>
      <c r="AP82" s="1426"/>
      <c r="AQ82" s="1426"/>
      <c r="AR82" s="1426"/>
      <c r="AS82" s="1426"/>
      <c r="AT82" s="1426"/>
      <c r="AU82" s="1426"/>
      <c r="AV82" s="1426"/>
      <c r="AW82" s="1426"/>
      <c r="AX82" s="1426"/>
      <c r="AY82" s="1426"/>
      <c r="AZ82" s="1426"/>
      <c r="BA82" s="1426"/>
      <c r="BB82" s="1426"/>
      <c r="BC82" s="1426"/>
      <c r="BD82" s="1426"/>
      <c r="BE82" s="1426"/>
    </row>
    <row r="83" spans="2:72">
      <c r="B83" s="66" t="s">
        <v>1123</v>
      </c>
      <c r="C83" s="66"/>
      <c r="D83" s="66"/>
      <c r="E83" s="66"/>
      <c r="F83" s="1520"/>
      <c r="G83" s="1521"/>
      <c r="H83" s="1521"/>
      <c r="I83" s="1521"/>
      <c r="J83" s="1521"/>
      <c r="K83" s="1521"/>
      <c r="L83" s="1521"/>
      <c r="M83" s="1521"/>
      <c r="N83" s="1521"/>
      <c r="O83" s="1521"/>
      <c r="P83" s="1521"/>
      <c r="Q83" s="1522"/>
      <c r="R83" s="1522"/>
      <c r="S83" s="1522"/>
      <c r="T83" s="1522"/>
      <c r="U83" s="1522"/>
      <c r="V83" s="1522"/>
      <c r="W83" s="1522"/>
      <c r="X83" s="1522"/>
      <c r="Y83" s="1522"/>
      <c r="Z83" s="1522"/>
      <c r="AA83" s="1522"/>
      <c r="AB83" s="1522"/>
      <c r="AC83" s="1522"/>
      <c r="AD83" s="1522"/>
      <c r="AE83" s="1522"/>
      <c r="AF83" s="1522"/>
      <c r="AG83" s="1522"/>
      <c r="AH83" s="1522"/>
      <c r="AI83" s="1522"/>
      <c r="AJ83" s="1522"/>
      <c r="AK83" s="1522"/>
      <c r="AL83" s="1522"/>
      <c r="AM83" s="1522"/>
      <c r="AN83" s="1522"/>
      <c r="AO83" s="1522"/>
      <c r="AP83" s="1522"/>
      <c r="AQ83" s="1522"/>
      <c r="AV83" s="1522"/>
    </row>
    <row r="84" spans="2:72" s="43" customFormat="1">
      <c r="B84" s="1401" t="s">
        <v>1124</v>
      </c>
      <c r="C84" s="42"/>
      <c r="D84" s="42"/>
      <c r="E84" s="42"/>
      <c r="F84" s="42"/>
      <c r="G84" s="1412"/>
      <c r="H84" s="42"/>
      <c r="I84" s="42"/>
      <c r="J84" s="42"/>
      <c r="K84" s="42"/>
      <c r="L84" s="1412"/>
      <c r="M84" s="42">
        <v>199289</v>
      </c>
      <c r="N84" s="42">
        <v>196835</v>
      </c>
      <c r="O84" s="42">
        <v>198734</v>
      </c>
      <c r="P84" s="42">
        <v>207810</v>
      </c>
      <c r="Q84" s="1412">
        <v>207810</v>
      </c>
      <c r="R84" s="42">
        <v>210126</v>
      </c>
      <c r="S84" s="42">
        <v>214017</v>
      </c>
      <c r="T84" s="42">
        <v>220484</v>
      </c>
      <c r="U84" s="42">
        <v>211498</v>
      </c>
      <c r="V84" s="1412">
        <v>211498</v>
      </c>
      <c r="W84" s="42">
        <v>209135</v>
      </c>
      <c r="X84" s="42">
        <v>212213</v>
      </c>
      <c r="Y84" s="42">
        <v>223483</v>
      </c>
      <c r="Z84" s="42">
        <v>231836</v>
      </c>
      <c r="AA84" s="1412">
        <v>231836</v>
      </c>
      <c r="AB84" s="42">
        <v>232792</v>
      </c>
      <c r="AC84" s="42">
        <v>228388</v>
      </c>
      <c r="AD84" s="42">
        <v>235452</v>
      </c>
      <c r="AE84" s="42">
        <v>243669</v>
      </c>
      <c r="AF84" s="1412">
        <v>243669</v>
      </c>
      <c r="AG84" s="42">
        <v>246802</v>
      </c>
      <c r="AH84" s="42">
        <v>251349</v>
      </c>
      <c r="AI84" s="42">
        <v>249690</v>
      </c>
      <c r="AJ84" s="42">
        <v>254195</v>
      </c>
      <c r="AK84" s="1412">
        <v>254195</v>
      </c>
      <c r="AL84" s="42">
        <v>254241</v>
      </c>
      <c r="AM84" s="42">
        <v>251016</v>
      </c>
      <c r="AN84" s="42">
        <v>279958</v>
      </c>
      <c r="AO84" s="42">
        <v>289000</v>
      </c>
      <c r="AP84" s="1412">
        <v>289000</v>
      </c>
      <c r="AQ84" s="42">
        <v>300000</v>
      </c>
      <c r="AR84" s="42">
        <v>295000</v>
      </c>
      <c r="AS84" s="42">
        <v>285000</v>
      </c>
      <c r="AT84" s="1335">
        <v>293000</v>
      </c>
      <c r="AU84" s="1531">
        <v>293000</v>
      </c>
      <c r="AV84" s="42">
        <v>298000</v>
      </c>
      <c r="AW84" s="42">
        <v>288000</v>
      </c>
      <c r="AX84" s="42">
        <v>288000</v>
      </c>
      <c r="AY84" s="42">
        <v>280000</v>
      </c>
      <c r="AZ84" s="1335">
        <v>287000</v>
      </c>
      <c r="BA84" s="1531">
        <v>287000</v>
      </c>
      <c r="BB84" s="42">
        <v>291000</v>
      </c>
      <c r="BC84" s="42"/>
      <c r="BD84" s="1335"/>
      <c r="BE84" s="1531"/>
    </row>
    <row r="85" spans="2:72" s="43" customFormat="1">
      <c r="B85" s="1402" t="s">
        <v>1152</v>
      </c>
      <c r="G85" s="1413"/>
      <c r="L85" s="1413"/>
      <c r="Q85" s="1413"/>
      <c r="V85" s="1413"/>
      <c r="W85" s="52">
        <v>209135</v>
      </c>
      <c r="X85" s="52">
        <v>212213</v>
      </c>
      <c r="Y85" s="52">
        <v>223483</v>
      </c>
      <c r="Z85" s="52">
        <v>231836</v>
      </c>
      <c r="AA85" s="1420">
        <v>231836</v>
      </c>
      <c r="AB85" s="52">
        <v>232792</v>
      </c>
      <c r="AC85" s="52">
        <v>228388</v>
      </c>
      <c r="AD85" s="52">
        <v>235452</v>
      </c>
      <c r="AE85" s="52">
        <v>243669</v>
      </c>
      <c r="AF85" s="1420">
        <v>243669</v>
      </c>
      <c r="AG85" s="52">
        <v>246801.99999999968</v>
      </c>
      <c r="AH85" s="52">
        <v>251349</v>
      </c>
      <c r="AI85" s="52">
        <v>249690</v>
      </c>
      <c r="AJ85" s="52">
        <v>254195</v>
      </c>
      <c r="AK85" s="1420">
        <v>254195</v>
      </c>
      <c r="AL85" s="52">
        <v>254241</v>
      </c>
      <c r="AM85" s="52">
        <v>251016</v>
      </c>
      <c r="AN85" s="52">
        <v>255670</v>
      </c>
      <c r="AO85" s="52">
        <v>265000</v>
      </c>
      <c r="AP85" s="1420">
        <v>265000</v>
      </c>
      <c r="AQ85" s="52">
        <v>276000</v>
      </c>
      <c r="AR85" s="52">
        <v>272000</v>
      </c>
      <c r="AS85" s="52">
        <v>266000</v>
      </c>
      <c r="AT85" s="43">
        <v>273000</v>
      </c>
      <c r="AU85" s="1413">
        <v>273000</v>
      </c>
      <c r="AV85" s="52">
        <v>278000</v>
      </c>
      <c r="AW85" s="52">
        <v>269000</v>
      </c>
      <c r="AX85" s="52">
        <v>269000</v>
      </c>
      <c r="AY85" s="52">
        <v>262000</v>
      </c>
      <c r="AZ85" s="43">
        <v>269000</v>
      </c>
      <c r="BA85" s="1413">
        <v>269000</v>
      </c>
      <c r="BB85" s="52">
        <v>273000</v>
      </c>
      <c r="BC85" s="52"/>
      <c r="BE85" s="1413"/>
    </row>
    <row r="86" spans="2:72">
      <c r="B86" s="91" t="s">
        <v>129</v>
      </c>
      <c r="G86" s="1414"/>
      <c r="L86" s="1414"/>
      <c r="M86" s="4">
        <v>140040.096515023</v>
      </c>
      <c r="N86" s="4">
        <v>140072.03116839356</v>
      </c>
      <c r="O86" s="4">
        <v>141427.79358840195</v>
      </c>
      <c r="P86" s="4">
        <v>147933.82855087492</v>
      </c>
      <c r="Q86" s="1414">
        <v>147933.82855087492</v>
      </c>
      <c r="R86" s="4">
        <v>150845.04479370851</v>
      </c>
      <c r="S86" s="4">
        <v>155185.68552096488</v>
      </c>
      <c r="T86" s="4">
        <v>159999.5276004801</v>
      </c>
      <c r="U86" s="4">
        <v>153061.6263838991</v>
      </c>
      <c r="V86" s="1414">
        <v>153061.6263838991</v>
      </c>
      <c r="W86" s="26">
        <v>150659.7332258141</v>
      </c>
      <c r="X86" s="26">
        <v>152862.67886228627</v>
      </c>
      <c r="Y86" s="26">
        <v>161162.44837556366</v>
      </c>
      <c r="Z86" s="26">
        <v>167231.7226722156</v>
      </c>
      <c r="AA86" s="1422">
        <v>167231.7226722156</v>
      </c>
      <c r="AB86" s="26">
        <v>168509.45605144478</v>
      </c>
      <c r="AC86" s="26">
        <v>164811.12489810705</v>
      </c>
      <c r="AD86" s="26">
        <v>168496.68459927701</v>
      </c>
      <c r="AE86" s="26">
        <v>173650.39486872125</v>
      </c>
      <c r="AF86" s="1422">
        <v>173650.39486872125</v>
      </c>
      <c r="AG86" s="71">
        <v>175965.51017128199</v>
      </c>
      <c r="AH86" s="71">
        <v>180895.0767999455</v>
      </c>
      <c r="AI86" s="71">
        <v>178527</v>
      </c>
      <c r="AJ86" s="71">
        <v>181479</v>
      </c>
      <c r="AK86" s="1424">
        <v>181479</v>
      </c>
      <c r="AL86" s="71">
        <v>181122</v>
      </c>
      <c r="AM86" s="71">
        <v>178414.59727603616</v>
      </c>
      <c r="AN86" s="71">
        <v>180946</v>
      </c>
      <c r="AO86" s="71">
        <v>187000</v>
      </c>
      <c r="AP86" s="1424">
        <v>187000</v>
      </c>
      <c r="AQ86" s="71">
        <v>197000</v>
      </c>
      <c r="AR86" s="71">
        <v>194000</v>
      </c>
      <c r="AS86" s="71">
        <v>187000</v>
      </c>
      <c r="AT86" s="71">
        <v>193000</v>
      </c>
      <c r="AU86" s="1424">
        <v>193000</v>
      </c>
      <c r="AV86" s="71">
        <v>198000</v>
      </c>
      <c r="AW86" s="71">
        <v>191000</v>
      </c>
      <c r="AX86" s="71">
        <v>191000</v>
      </c>
      <c r="AY86" s="71">
        <v>186000</v>
      </c>
      <c r="AZ86" s="71">
        <v>192000</v>
      </c>
      <c r="BA86" s="1424">
        <v>192000</v>
      </c>
      <c r="BB86" s="71">
        <v>196000</v>
      </c>
      <c r="BC86" s="71"/>
      <c r="BD86" s="71"/>
      <c r="BE86" s="1424"/>
      <c r="BG86" s="1373"/>
      <c r="BH86" s="1372"/>
      <c r="BI86" s="1372"/>
      <c r="BJ86" s="1372"/>
      <c r="BK86" s="1372"/>
      <c r="BL86" s="1373"/>
      <c r="BM86" s="1372"/>
      <c r="BN86" s="1372"/>
      <c r="BO86" s="1372"/>
      <c r="BP86" s="1372"/>
      <c r="BQ86" s="1373"/>
      <c r="BR86" s="1372"/>
      <c r="BS86" s="1372"/>
      <c r="BT86" s="1372"/>
    </row>
    <row r="87" spans="2:72">
      <c r="B87" s="92" t="s">
        <v>196</v>
      </c>
      <c r="G87" s="1414"/>
      <c r="L87" s="1414"/>
      <c r="M87" s="4">
        <v>38514</v>
      </c>
      <c r="N87" s="4">
        <v>36097</v>
      </c>
      <c r="O87" s="4">
        <v>34834</v>
      </c>
      <c r="P87" s="4">
        <v>35065</v>
      </c>
      <c r="Q87" s="1414">
        <v>35065</v>
      </c>
      <c r="R87" s="4">
        <v>33569</v>
      </c>
      <c r="S87" s="4">
        <v>33446</v>
      </c>
      <c r="T87" s="4">
        <v>33404</v>
      </c>
      <c r="U87" s="4">
        <v>31537</v>
      </c>
      <c r="V87" s="1414">
        <v>31537</v>
      </c>
      <c r="W87" s="26">
        <v>30513</v>
      </c>
      <c r="X87" s="26">
        <v>30633</v>
      </c>
      <c r="Y87" s="26">
        <v>31234</v>
      </c>
      <c r="Z87" s="26">
        <v>32095</v>
      </c>
      <c r="AA87" s="1422">
        <v>32095</v>
      </c>
      <c r="AB87" s="26">
        <v>29885</v>
      </c>
      <c r="AC87" s="26">
        <v>27877</v>
      </c>
      <c r="AD87" s="26">
        <v>27989</v>
      </c>
      <c r="AE87" s="26">
        <v>29057</v>
      </c>
      <c r="AF87" s="1422">
        <v>29057</v>
      </c>
      <c r="AG87" s="71">
        <v>28836</v>
      </c>
      <c r="AH87" s="71">
        <v>28530</v>
      </c>
      <c r="AI87" s="71">
        <v>27406</v>
      </c>
      <c r="AJ87" s="71">
        <v>27281</v>
      </c>
      <c r="AK87" s="1424">
        <v>27281</v>
      </c>
      <c r="AL87" s="71">
        <v>27353</v>
      </c>
      <c r="AM87" s="71">
        <v>26638</v>
      </c>
      <c r="AN87" s="71">
        <v>26387</v>
      </c>
      <c r="AO87" s="71">
        <v>27000</v>
      </c>
      <c r="AP87" s="1424">
        <v>27000</v>
      </c>
      <c r="AQ87" s="71">
        <v>27000</v>
      </c>
      <c r="AR87" s="71">
        <v>27000</v>
      </c>
      <c r="AS87" s="71">
        <v>27000</v>
      </c>
      <c r="AT87" s="71">
        <v>28000</v>
      </c>
      <c r="AU87" s="1424">
        <v>28000</v>
      </c>
      <c r="AV87" s="71">
        <v>28000</v>
      </c>
      <c r="AW87" s="71">
        <v>26000</v>
      </c>
      <c r="AX87" s="71">
        <v>26000</v>
      </c>
      <c r="AY87" s="71">
        <v>25000</v>
      </c>
      <c r="AZ87" s="71">
        <v>24000</v>
      </c>
      <c r="BA87" s="1424">
        <v>24000</v>
      </c>
      <c r="BB87" s="71">
        <v>24000</v>
      </c>
      <c r="BC87" s="71"/>
      <c r="BD87" s="71"/>
      <c r="BE87" s="1424"/>
      <c r="BG87" s="1373"/>
      <c r="BH87" s="1372"/>
      <c r="BI87" s="1372"/>
      <c r="BJ87" s="1372"/>
      <c r="BK87" s="1372"/>
      <c r="BL87" s="1373"/>
      <c r="BM87" s="1372"/>
      <c r="BN87" s="1372"/>
      <c r="BO87" s="1372"/>
      <c r="BP87" s="1372"/>
      <c r="BQ87" s="1373"/>
      <c r="BR87" s="1372"/>
      <c r="BS87" s="1372"/>
      <c r="BT87" s="1372"/>
    </row>
    <row r="88" spans="2:72">
      <c r="B88" s="92" t="s">
        <v>198</v>
      </c>
      <c r="G88" s="1414"/>
      <c r="L88" s="1414"/>
      <c r="M88" s="4">
        <v>20734.903484976985</v>
      </c>
      <c r="N88" s="4">
        <v>20665.968831606435</v>
      </c>
      <c r="O88" s="4">
        <v>22472.20641159805</v>
      </c>
      <c r="P88" s="4">
        <v>24811.171449125079</v>
      </c>
      <c r="Q88" s="1414">
        <v>24811.171449125079</v>
      </c>
      <c r="R88" s="4">
        <v>25711.955206291492</v>
      </c>
      <c r="S88" s="4">
        <v>25369.314479035118</v>
      </c>
      <c r="T88" s="4">
        <v>27035.472399519895</v>
      </c>
      <c r="U88" s="4">
        <v>26723.373616100889</v>
      </c>
      <c r="V88" s="1414">
        <v>26723.373616100889</v>
      </c>
      <c r="W88" s="26">
        <v>27791.266774185897</v>
      </c>
      <c r="X88" s="26">
        <v>28538.32113771373</v>
      </c>
      <c r="Y88" s="26">
        <v>30911.551624436328</v>
      </c>
      <c r="Z88" s="26">
        <v>32158.277327784399</v>
      </c>
      <c r="AA88" s="1422">
        <v>32158.277327784399</v>
      </c>
      <c r="AB88" s="26">
        <v>33822.54394855522</v>
      </c>
      <c r="AC88" s="26">
        <v>34529.875101892947</v>
      </c>
      <c r="AD88" s="26">
        <v>36817.315400722997</v>
      </c>
      <c r="AE88" s="26">
        <v>38293.605131278739</v>
      </c>
      <c r="AF88" s="1422">
        <v>38293.605131278739</v>
      </c>
      <c r="AG88" s="71">
        <v>39176.489828717691</v>
      </c>
      <c r="AH88" s="71">
        <v>39085.923200054494</v>
      </c>
      <c r="AI88" s="71">
        <v>40733</v>
      </c>
      <c r="AJ88" s="71">
        <v>42768</v>
      </c>
      <c r="AK88" s="1424">
        <v>42768</v>
      </c>
      <c r="AL88" s="71">
        <v>43219</v>
      </c>
      <c r="AM88" s="71">
        <v>43710.402723963838</v>
      </c>
      <c r="AN88" s="71">
        <v>46111</v>
      </c>
      <c r="AO88" s="71">
        <v>48000</v>
      </c>
      <c r="AP88" s="1424">
        <v>48000</v>
      </c>
      <c r="AQ88" s="71">
        <v>50000</v>
      </c>
      <c r="AR88" s="71">
        <v>49000</v>
      </c>
      <c r="AS88" s="71">
        <v>49000</v>
      </c>
      <c r="AT88" s="71">
        <v>50000</v>
      </c>
      <c r="AU88" s="1424">
        <v>50000</v>
      </c>
      <c r="AV88" s="71">
        <v>50000</v>
      </c>
      <c r="AW88" s="71">
        <v>49000</v>
      </c>
      <c r="AX88" s="71">
        <v>49000</v>
      </c>
      <c r="AY88" s="71">
        <v>48000</v>
      </c>
      <c r="AZ88" s="71">
        <v>49000</v>
      </c>
      <c r="BA88" s="1424">
        <v>49000</v>
      </c>
      <c r="BB88" s="71">
        <v>51000</v>
      </c>
      <c r="BC88" s="71"/>
      <c r="BD88" s="71"/>
      <c r="BE88" s="1424"/>
      <c r="BG88" s="1373"/>
      <c r="BH88" s="1372"/>
      <c r="BI88" s="1372"/>
      <c r="BJ88" s="1372"/>
      <c r="BK88" s="1372"/>
      <c r="BL88" s="1373"/>
      <c r="BM88" s="1372"/>
      <c r="BN88" s="1372"/>
      <c r="BO88" s="1372"/>
      <c r="BP88" s="1372"/>
      <c r="BQ88" s="1373"/>
      <c r="BR88" s="1372"/>
      <c r="BS88" s="1372"/>
      <c r="BT88" s="1372"/>
    </row>
    <row r="89" spans="2:72">
      <c r="B89" s="92" t="s">
        <v>197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16</v>
      </c>
      <c r="T89" s="4">
        <v>45</v>
      </c>
      <c r="U89" s="4">
        <v>176</v>
      </c>
      <c r="V89" s="4">
        <v>176</v>
      </c>
      <c r="W89" s="26">
        <v>171</v>
      </c>
      <c r="X89" s="26">
        <v>179</v>
      </c>
      <c r="Y89" s="26">
        <v>175</v>
      </c>
      <c r="Z89" s="26">
        <v>351</v>
      </c>
      <c r="AA89" s="1422">
        <v>351</v>
      </c>
      <c r="AB89" s="26">
        <v>575</v>
      </c>
      <c r="AC89" s="26">
        <v>1170</v>
      </c>
      <c r="AD89" s="26">
        <v>2149</v>
      </c>
      <c r="AE89" s="26">
        <v>2668</v>
      </c>
      <c r="AF89" s="1422">
        <v>2668</v>
      </c>
      <c r="AG89" s="71">
        <v>2824</v>
      </c>
      <c r="AH89" s="71">
        <v>2838</v>
      </c>
      <c r="AI89" s="71">
        <v>3024</v>
      </c>
      <c r="AJ89" s="71">
        <v>2667</v>
      </c>
      <c r="AK89" s="1424">
        <v>2667</v>
      </c>
      <c r="AL89" s="71">
        <v>2547</v>
      </c>
      <c r="AM89" s="71">
        <v>2253</v>
      </c>
      <c r="AN89" s="71">
        <v>2226</v>
      </c>
      <c r="AO89" s="4">
        <v>2000</v>
      </c>
      <c r="AP89" s="1414">
        <v>2000</v>
      </c>
      <c r="AQ89" s="71">
        <v>2000</v>
      </c>
      <c r="AR89" s="71">
        <v>2000</v>
      </c>
      <c r="AS89" s="71">
        <v>2000</v>
      </c>
      <c r="AT89" s="71">
        <v>2000</v>
      </c>
      <c r="AU89" s="1424">
        <v>2000</v>
      </c>
      <c r="AV89" s="71">
        <v>2000</v>
      </c>
      <c r="AW89" s="71">
        <v>2000</v>
      </c>
      <c r="AX89" s="71">
        <v>2000</v>
      </c>
      <c r="AY89" s="71">
        <v>2000</v>
      </c>
      <c r="AZ89" s="71">
        <v>3000</v>
      </c>
      <c r="BA89" s="1424">
        <v>3000</v>
      </c>
      <c r="BB89" s="71">
        <v>3000</v>
      </c>
      <c r="BC89" s="71"/>
      <c r="BD89" s="71"/>
      <c r="BE89" s="1424"/>
      <c r="BG89" s="1373"/>
      <c r="BH89" s="1372"/>
      <c r="BI89" s="1372"/>
      <c r="BJ89" s="1372"/>
      <c r="BK89" s="1372"/>
      <c r="BL89" s="1373"/>
      <c r="BM89" s="1372"/>
      <c r="BN89" s="1372"/>
      <c r="BO89" s="1372"/>
      <c r="BP89" s="1372"/>
      <c r="BQ89" s="1373"/>
      <c r="BR89" s="1372"/>
      <c r="BS89" s="1372"/>
      <c r="BT89" s="1372"/>
    </row>
    <row r="90" spans="2:72" s="43" customFormat="1">
      <c r="B90" s="1402" t="s">
        <v>1153</v>
      </c>
      <c r="C90" s="4"/>
      <c r="D90" s="4"/>
      <c r="E90" s="4"/>
      <c r="F90" s="4"/>
      <c r="G90" s="1414"/>
      <c r="H90" s="1427"/>
      <c r="I90" s="1427"/>
      <c r="J90" s="1427"/>
      <c r="K90" s="1427"/>
      <c r="L90" s="1432"/>
      <c r="M90" s="4"/>
      <c r="N90" s="4"/>
      <c r="O90" s="4"/>
      <c r="P90" s="4"/>
      <c r="Q90" s="1414"/>
      <c r="R90" s="1427"/>
      <c r="S90" s="1427"/>
      <c r="T90" s="1427"/>
      <c r="U90" s="1427"/>
      <c r="V90" s="1432"/>
      <c r="W90" s="52"/>
      <c r="X90" s="52"/>
      <c r="Y90" s="52"/>
      <c r="Z90" s="52"/>
      <c r="AA90" s="1420"/>
      <c r="AB90" s="52"/>
      <c r="AC90" s="52"/>
      <c r="AD90" s="52"/>
      <c r="AE90" s="52"/>
      <c r="AF90" s="1420"/>
      <c r="AG90" s="1505" t="s">
        <v>100</v>
      </c>
      <c r="AH90" s="1505" t="s">
        <v>100</v>
      </c>
      <c r="AI90" s="1505" t="s">
        <v>100</v>
      </c>
      <c r="AJ90" s="1505" t="s">
        <v>100</v>
      </c>
      <c r="AK90" s="1506" t="s">
        <v>100</v>
      </c>
      <c r="AL90" s="1505" t="s">
        <v>100</v>
      </c>
      <c r="AM90" s="1505" t="s">
        <v>100</v>
      </c>
      <c r="AN90" s="52">
        <v>24288</v>
      </c>
      <c r="AO90" s="1332">
        <v>24000</v>
      </c>
      <c r="AP90" s="1417">
        <v>24000</v>
      </c>
      <c r="AQ90" s="1515">
        <v>24000</v>
      </c>
      <c r="AR90" s="1523">
        <v>22000</v>
      </c>
      <c r="AS90" s="1523">
        <v>19000</v>
      </c>
      <c r="AT90" s="1515">
        <v>20000</v>
      </c>
      <c r="AU90" s="1529">
        <v>20000</v>
      </c>
      <c r="AV90" s="1515">
        <v>21000</v>
      </c>
      <c r="AW90" s="22">
        <v>19000</v>
      </c>
      <c r="AX90" s="22">
        <v>19000</v>
      </c>
      <c r="AY90" s="22">
        <v>18000</v>
      </c>
      <c r="AZ90" s="22">
        <v>18000</v>
      </c>
      <c r="BA90" s="1425">
        <v>18000</v>
      </c>
      <c r="BB90" s="22">
        <v>18000</v>
      </c>
      <c r="BC90" s="1523"/>
      <c r="BD90" s="1515"/>
      <c r="BE90" s="1529"/>
      <c r="BG90" s="1373"/>
      <c r="BH90" s="1373"/>
      <c r="BI90" s="1373"/>
      <c r="BJ90" s="1373"/>
      <c r="BK90" s="1373"/>
      <c r="BL90" s="1373"/>
      <c r="BM90" s="1373"/>
      <c r="BN90" s="1373"/>
      <c r="BO90" s="1373"/>
      <c r="BP90" s="1373"/>
      <c r="BQ90" s="1373"/>
      <c r="BR90" s="1373"/>
      <c r="BS90" s="1373"/>
      <c r="BT90" s="1373"/>
    </row>
    <row r="91" spans="2:72">
      <c r="B91" s="91" t="s">
        <v>129</v>
      </c>
      <c r="G91" s="1414"/>
      <c r="H91" s="1428"/>
      <c r="I91" s="1428"/>
      <c r="J91" s="1428"/>
      <c r="K91" s="1428"/>
      <c r="L91" s="1429"/>
      <c r="Q91" s="1414"/>
      <c r="R91" s="1428"/>
      <c r="S91" s="1428"/>
      <c r="T91" s="1428"/>
      <c r="U91" s="1428"/>
      <c r="V91" s="1429"/>
      <c r="W91" s="26"/>
      <c r="X91" s="26"/>
      <c r="Y91" s="26"/>
      <c r="Z91" s="26"/>
      <c r="AA91" s="1422"/>
      <c r="AB91" s="26"/>
      <c r="AC91" s="26"/>
      <c r="AD91" s="26"/>
      <c r="AE91" s="26"/>
      <c r="AF91" s="1422"/>
      <c r="AG91" s="1492" t="s">
        <v>100</v>
      </c>
      <c r="AH91" s="1492" t="s">
        <v>100</v>
      </c>
      <c r="AI91" s="1492" t="s">
        <v>100</v>
      </c>
      <c r="AJ91" s="1492" t="s">
        <v>100</v>
      </c>
      <c r="AK91" s="1507" t="s">
        <v>100</v>
      </c>
      <c r="AL91" s="1492" t="s">
        <v>100</v>
      </c>
      <c r="AM91" s="1492" t="s">
        <v>100</v>
      </c>
      <c r="AN91" s="48">
        <v>21827</v>
      </c>
      <c r="AO91" s="85">
        <v>22000</v>
      </c>
      <c r="AP91" s="1418">
        <v>22000</v>
      </c>
      <c r="AQ91" s="1514">
        <v>21000</v>
      </c>
      <c r="AR91" s="1524">
        <v>21000</v>
      </c>
      <c r="AS91" s="1524">
        <v>19000</v>
      </c>
      <c r="AT91" s="1514">
        <v>20000</v>
      </c>
      <c r="AU91" s="1530">
        <v>20000</v>
      </c>
      <c r="AV91" s="1514">
        <v>21000</v>
      </c>
      <c r="AW91" s="71">
        <v>19000</v>
      </c>
      <c r="AX91" s="71">
        <v>19000</v>
      </c>
      <c r="AY91" s="71">
        <v>18000</v>
      </c>
      <c r="AZ91" s="71">
        <v>18000</v>
      </c>
      <c r="BA91" s="1424">
        <v>18000</v>
      </c>
      <c r="BB91" s="71">
        <v>18000</v>
      </c>
      <c r="BC91" s="1524"/>
      <c r="BD91" s="1514"/>
      <c r="BE91" s="1530"/>
      <c r="BG91" s="1373"/>
      <c r="BH91" s="1372"/>
      <c r="BI91" s="1372"/>
      <c r="BJ91" s="1372"/>
      <c r="BK91" s="1372"/>
      <c r="BL91" s="1373"/>
      <c r="BM91" s="1372"/>
      <c r="BN91" s="1372"/>
      <c r="BO91" s="1372"/>
      <c r="BP91" s="1372"/>
      <c r="BQ91" s="1373"/>
      <c r="BR91" s="1372"/>
      <c r="BS91" s="1372"/>
      <c r="BT91" s="1372"/>
    </row>
    <row r="92" spans="2:72">
      <c r="B92" s="91" t="s">
        <v>196</v>
      </c>
      <c r="G92" s="1414"/>
      <c r="H92" s="1428"/>
      <c r="I92" s="1428"/>
      <c r="J92" s="1428"/>
      <c r="K92" s="1428"/>
      <c r="L92" s="1429"/>
      <c r="Q92" s="1414"/>
      <c r="R92" s="1428"/>
      <c r="S92" s="1428"/>
      <c r="T92" s="1428"/>
      <c r="U92" s="1428"/>
      <c r="V92" s="1429"/>
      <c r="W92" s="26"/>
      <c r="X92" s="26"/>
      <c r="Y92" s="26"/>
      <c r="Z92" s="26"/>
      <c r="AA92" s="1422"/>
      <c r="AB92" s="26"/>
      <c r="AC92" s="26"/>
      <c r="AD92" s="26"/>
      <c r="AE92" s="26"/>
      <c r="AF92" s="1422"/>
      <c r="AG92" s="1492" t="s">
        <v>100</v>
      </c>
      <c r="AH92" s="1492" t="s">
        <v>100</v>
      </c>
      <c r="AI92" s="1492" t="s">
        <v>100</v>
      </c>
      <c r="AJ92" s="1492" t="s">
        <v>100</v>
      </c>
      <c r="AK92" s="1507" t="s">
        <v>100</v>
      </c>
      <c r="AL92" s="1492" t="s">
        <v>100</v>
      </c>
      <c r="AM92" s="1492" t="s">
        <v>100</v>
      </c>
      <c r="AN92" s="48">
        <v>2461</v>
      </c>
      <c r="AO92" s="85">
        <v>2000</v>
      </c>
      <c r="AP92" s="1418">
        <v>2000</v>
      </c>
      <c r="AQ92" s="1514">
        <v>2000</v>
      </c>
      <c r="AR92" s="1524">
        <v>2000</v>
      </c>
      <c r="AS92" s="1524">
        <v>0</v>
      </c>
      <c r="AT92" s="1514">
        <v>0</v>
      </c>
      <c r="AU92" s="1530">
        <v>0</v>
      </c>
      <c r="AV92" s="1514">
        <v>0</v>
      </c>
      <c r="AW92" s="1524">
        <v>0</v>
      </c>
      <c r="AX92" s="1524">
        <v>0</v>
      </c>
      <c r="AY92" s="1524">
        <v>0</v>
      </c>
      <c r="AZ92" s="1514">
        <v>0</v>
      </c>
      <c r="BA92" s="1530">
        <v>0</v>
      </c>
      <c r="BB92" s="1524">
        <v>0</v>
      </c>
      <c r="BC92" s="1524"/>
      <c r="BD92" s="1514"/>
      <c r="BE92" s="1530"/>
      <c r="BG92" s="1373"/>
      <c r="BH92" s="1372"/>
      <c r="BI92" s="1372"/>
      <c r="BJ92" s="1372"/>
      <c r="BK92" s="1372"/>
      <c r="BL92" s="1373"/>
      <c r="BM92" s="1372"/>
      <c r="BN92" s="1372"/>
      <c r="BO92" s="1372"/>
      <c r="BP92" s="1372"/>
      <c r="BQ92" s="1373"/>
      <c r="BR92" s="1372"/>
      <c r="BS92" s="1372"/>
      <c r="BT92" s="1372"/>
    </row>
    <row r="93" spans="2:72">
      <c r="B93" s="1411"/>
      <c r="C93" s="1371"/>
      <c r="D93" s="1371"/>
      <c r="E93" s="1371"/>
      <c r="F93" s="1371"/>
      <c r="G93" s="71"/>
      <c r="H93" s="71"/>
      <c r="I93" s="71"/>
      <c r="J93" s="71"/>
      <c r="K93" s="71"/>
      <c r="L93" s="71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71"/>
      <c r="AH93" s="71"/>
      <c r="AI93" s="71"/>
      <c r="AJ93" s="71"/>
      <c r="AK93" s="71"/>
      <c r="AL93" s="71"/>
      <c r="AM93" s="71"/>
      <c r="AN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G93" s="1373"/>
      <c r="BH93" s="1372"/>
      <c r="BI93" s="1372"/>
      <c r="BJ93" s="1372"/>
      <c r="BK93" s="1372"/>
      <c r="BL93" s="1373"/>
      <c r="BM93" s="1372"/>
      <c r="BN93" s="1372"/>
      <c r="BO93" s="1372"/>
      <c r="BP93" s="1372"/>
      <c r="BQ93" s="1373"/>
      <c r="BR93" s="1372"/>
      <c r="BS93" s="1372"/>
      <c r="BT93" s="1372"/>
    </row>
    <row r="94" spans="2:72">
      <c r="B94" s="36" t="s">
        <v>1125</v>
      </c>
      <c r="G94" s="1414"/>
      <c r="L94" s="1414"/>
      <c r="M94" s="4">
        <v>39581</v>
      </c>
      <c r="N94" s="4">
        <v>36592</v>
      </c>
      <c r="O94" s="4">
        <v>35539</v>
      </c>
      <c r="P94" s="4">
        <v>35651</v>
      </c>
      <c r="Q94" s="1414">
        <v>35651</v>
      </c>
      <c r="R94" s="4">
        <v>35522</v>
      </c>
      <c r="S94" s="4">
        <v>36134</v>
      </c>
      <c r="T94" s="4">
        <v>37634</v>
      </c>
      <c r="U94" s="4">
        <v>36461</v>
      </c>
      <c r="V94" s="1414">
        <v>36461</v>
      </c>
      <c r="W94" s="26">
        <v>35099</v>
      </c>
      <c r="X94" s="26">
        <v>35415</v>
      </c>
      <c r="Y94" s="26">
        <v>36522</v>
      </c>
      <c r="Z94" s="26">
        <v>36834</v>
      </c>
      <c r="AA94" s="1422">
        <v>36834</v>
      </c>
      <c r="AB94" s="26">
        <v>36628</v>
      </c>
      <c r="AC94" s="26">
        <v>36510</v>
      </c>
      <c r="AD94" s="26">
        <v>35980</v>
      </c>
      <c r="AE94" s="26">
        <v>36098</v>
      </c>
      <c r="AF94" s="1422">
        <v>36098</v>
      </c>
      <c r="AG94" s="71">
        <v>35595</v>
      </c>
      <c r="AH94" s="71">
        <v>35650</v>
      </c>
      <c r="AI94" s="71">
        <v>34622</v>
      </c>
      <c r="AJ94" s="71">
        <v>33751</v>
      </c>
      <c r="AK94" s="1424">
        <v>33751</v>
      </c>
      <c r="AL94" s="71">
        <v>33370</v>
      </c>
      <c r="AM94" s="71">
        <v>31939</v>
      </c>
      <c r="AN94" s="71">
        <v>38131</v>
      </c>
      <c r="AO94" s="4">
        <v>39000</v>
      </c>
      <c r="AP94" s="1414">
        <v>39000</v>
      </c>
      <c r="AQ94" s="71">
        <v>39000</v>
      </c>
      <c r="AR94" s="71">
        <v>37000</v>
      </c>
      <c r="AS94" s="71">
        <v>36000</v>
      </c>
      <c r="AT94" s="71">
        <v>39000</v>
      </c>
      <c r="AU94" s="1424">
        <v>39000</v>
      </c>
      <c r="AV94" s="71">
        <v>40000</v>
      </c>
      <c r="AW94" s="71">
        <v>38000</v>
      </c>
      <c r="AX94" s="71">
        <v>38000</v>
      </c>
      <c r="AY94" s="71">
        <v>39000</v>
      </c>
      <c r="AZ94" s="71">
        <v>43000</v>
      </c>
      <c r="BA94" s="71">
        <v>43000</v>
      </c>
      <c r="BB94" s="71">
        <v>43000</v>
      </c>
      <c r="BC94" s="71"/>
      <c r="BD94" s="71"/>
      <c r="BE94" s="1424"/>
      <c r="BG94" s="43"/>
      <c r="BL94" s="43"/>
      <c r="BQ94" s="43"/>
    </row>
    <row r="95" spans="2:72">
      <c r="B95" s="36" t="s">
        <v>1126</v>
      </c>
      <c r="G95" s="1414"/>
      <c r="L95" s="1414"/>
      <c r="M95" s="4">
        <v>12626</v>
      </c>
      <c r="N95" s="4">
        <v>13508</v>
      </c>
      <c r="O95" s="4">
        <v>13837</v>
      </c>
      <c r="P95" s="4">
        <v>14077</v>
      </c>
      <c r="Q95" s="1414">
        <v>14077</v>
      </c>
      <c r="R95" s="4">
        <v>14804</v>
      </c>
      <c r="S95" s="4">
        <v>15084</v>
      </c>
      <c r="T95" s="4">
        <v>15352</v>
      </c>
      <c r="U95" s="4">
        <v>13161</v>
      </c>
      <c r="V95" s="1414">
        <v>13161</v>
      </c>
      <c r="W95" s="26">
        <v>12488</v>
      </c>
      <c r="X95" s="26">
        <v>12494</v>
      </c>
      <c r="Y95" s="26">
        <v>12684</v>
      </c>
      <c r="Z95" s="26">
        <v>13899</v>
      </c>
      <c r="AA95" s="1422">
        <v>13899</v>
      </c>
      <c r="AB95" s="26">
        <v>12333</v>
      </c>
      <c r="AC95" s="26">
        <v>12722</v>
      </c>
      <c r="AD95" s="26">
        <v>12768</v>
      </c>
      <c r="AE95" s="26">
        <v>12622</v>
      </c>
      <c r="AF95" s="1422">
        <v>12622</v>
      </c>
      <c r="AG95" s="71">
        <v>12145</v>
      </c>
      <c r="AH95" s="71">
        <v>13015</v>
      </c>
      <c r="AI95" s="71">
        <v>12522</v>
      </c>
      <c r="AJ95" s="71">
        <v>11056</v>
      </c>
      <c r="AK95" s="1424">
        <v>11056</v>
      </c>
      <c r="AL95" s="71">
        <v>10664</v>
      </c>
      <c r="AM95" s="71">
        <v>10591</v>
      </c>
      <c r="AN95" s="71">
        <v>9354</v>
      </c>
      <c r="AO95" s="4">
        <v>9000</v>
      </c>
      <c r="AP95" s="1414">
        <v>9000</v>
      </c>
      <c r="AQ95" s="71">
        <v>9000</v>
      </c>
      <c r="AR95" s="71">
        <v>7000</v>
      </c>
      <c r="AS95" s="71">
        <v>9000</v>
      </c>
      <c r="AT95" s="71">
        <v>8000</v>
      </c>
      <c r="AU95" s="1424">
        <v>8000</v>
      </c>
      <c r="AV95" s="71">
        <v>9000</v>
      </c>
      <c r="AW95" s="71">
        <v>8000</v>
      </c>
      <c r="AX95" s="71">
        <v>8000</v>
      </c>
      <c r="AY95" s="71">
        <v>8000</v>
      </c>
      <c r="AZ95" s="71">
        <v>9000</v>
      </c>
      <c r="BA95" s="71">
        <v>9000</v>
      </c>
      <c r="BB95" s="71">
        <v>8000</v>
      </c>
      <c r="BC95" s="71"/>
      <c r="BD95" s="71"/>
      <c r="BE95" s="1424"/>
      <c r="BG95" s="43"/>
      <c r="BL95" s="43"/>
      <c r="BQ95" s="43"/>
    </row>
    <row r="96" spans="2:72">
      <c r="B96" s="36" t="s">
        <v>1127</v>
      </c>
      <c r="G96" s="1414"/>
      <c r="L96" s="1414"/>
      <c r="M96" s="4">
        <v>9604</v>
      </c>
      <c r="N96" s="4">
        <v>10026</v>
      </c>
      <c r="O96" s="4">
        <v>10597</v>
      </c>
      <c r="P96" s="4">
        <v>11151</v>
      </c>
      <c r="Q96" s="1414">
        <v>11151</v>
      </c>
      <c r="R96" s="4">
        <v>11727.48</v>
      </c>
      <c r="S96" s="4">
        <v>12419</v>
      </c>
      <c r="T96" s="4">
        <v>13072</v>
      </c>
      <c r="U96" s="4">
        <v>11992</v>
      </c>
      <c r="V96" s="1414">
        <v>11992</v>
      </c>
      <c r="W96" s="26">
        <v>11837</v>
      </c>
      <c r="X96" s="26">
        <v>11769</v>
      </c>
      <c r="Y96" s="26">
        <v>11521</v>
      </c>
      <c r="Z96" s="26">
        <v>11347</v>
      </c>
      <c r="AA96" s="1422">
        <v>11347</v>
      </c>
      <c r="AB96" s="26">
        <v>11297</v>
      </c>
      <c r="AC96" s="26">
        <v>11214</v>
      </c>
      <c r="AD96" s="26">
        <v>11797</v>
      </c>
      <c r="AE96" s="26">
        <v>11541</v>
      </c>
      <c r="AF96" s="1422">
        <v>11541</v>
      </c>
      <c r="AG96" s="71">
        <v>11422</v>
      </c>
      <c r="AH96" s="71">
        <v>11614</v>
      </c>
      <c r="AI96" s="71">
        <v>11918</v>
      </c>
      <c r="AJ96" s="71">
        <v>12189</v>
      </c>
      <c r="AK96" s="1424">
        <v>12189</v>
      </c>
      <c r="AL96" s="71">
        <v>12606</v>
      </c>
      <c r="AM96" s="71">
        <v>12822</v>
      </c>
      <c r="AN96" s="71">
        <v>14664</v>
      </c>
      <c r="AO96" s="4">
        <v>15000</v>
      </c>
      <c r="AP96" s="1414">
        <v>15000</v>
      </c>
      <c r="AQ96" s="71">
        <v>15000</v>
      </c>
      <c r="AR96" s="71">
        <v>16000</v>
      </c>
      <c r="AS96" s="71">
        <v>16000</v>
      </c>
      <c r="AT96" s="71">
        <v>16000</v>
      </c>
      <c r="AU96" s="1424">
        <v>16000</v>
      </c>
      <c r="AV96" s="71">
        <v>16000</v>
      </c>
      <c r="AW96" s="71">
        <v>16000</v>
      </c>
      <c r="AX96" s="71">
        <v>16000</v>
      </c>
      <c r="AY96" s="71">
        <v>16000</v>
      </c>
      <c r="AZ96" s="71">
        <v>17000</v>
      </c>
      <c r="BA96" s="71">
        <v>17000</v>
      </c>
      <c r="BB96" s="71">
        <v>17000</v>
      </c>
      <c r="BC96" s="71"/>
      <c r="BD96" s="71"/>
      <c r="BE96" s="1424"/>
      <c r="BG96" s="43"/>
      <c r="BL96" s="43"/>
      <c r="BQ96" s="43"/>
    </row>
    <row r="97" spans="2:69">
      <c r="B97" s="36" t="s">
        <v>36</v>
      </c>
      <c r="G97" s="1414"/>
      <c r="L97" s="1414"/>
      <c r="M97" s="4">
        <v>2484</v>
      </c>
      <c r="N97" s="4">
        <v>2427</v>
      </c>
      <c r="O97" s="4">
        <v>2440</v>
      </c>
      <c r="P97" s="4">
        <v>2680</v>
      </c>
      <c r="Q97" s="1414">
        <v>2680</v>
      </c>
      <c r="R97" s="4">
        <v>2662</v>
      </c>
      <c r="S97" s="4">
        <v>2483</v>
      </c>
      <c r="T97" s="4">
        <v>2939</v>
      </c>
      <c r="U97" s="4">
        <v>3178</v>
      </c>
      <c r="V97" s="1414">
        <v>3178</v>
      </c>
      <c r="W97" s="26">
        <v>3295</v>
      </c>
      <c r="X97" s="26">
        <v>3548</v>
      </c>
      <c r="Y97" s="26">
        <v>3616</v>
      </c>
      <c r="Z97" s="26">
        <v>3830</v>
      </c>
      <c r="AA97" s="1422">
        <v>3830</v>
      </c>
      <c r="AB97" s="26">
        <v>4053</v>
      </c>
      <c r="AC97" s="26">
        <v>3847</v>
      </c>
      <c r="AD97" s="26">
        <v>4105</v>
      </c>
      <c r="AE97" s="26">
        <v>4502</v>
      </c>
      <c r="AF97" s="1422">
        <v>4502</v>
      </c>
      <c r="AG97" s="71">
        <v>4575</v>
      </c>
      <c r="AH97" s="71">
        <v>4726</v>
      </c>
      <c r="AI97" s="71">
        <v>4793</v>
      </c>
      <c r="AJ97" s="71">
        <v>4810</v>
      </c>
      <c r="AK97" s="1424">
        <v>4810</v>
      </c>
      <c r="AL97" s="71">
        <v>4817</v>
      </c>
      <c r="AM97" s="71">
        <v>4556</v>
      </c>
      <c r="AN97" s="71">
        <v>4450</v>
      </c>
      <c r="AO97" s="4">
        <v>4000</v>
      </c>
      <c r="AP97" s="1414">
        <v>4000</v>
      </c>
      <c r="AQ97" s="71">
        <v>5000</v>
      </c>
      <c r="AR97" s="71">
        <v>5000</v>
      </c>
      <c r="AS97" s="71">
        <v>4000</v>
      </c>
      <c r="AT97" s="71">
        <v>5000</v>
      </c>
      <c r="AU97" s="1424">
        <v>5000</v>
      </c>
      <c r="AV97" s="71">
        <v>5000</v>
      </c>
      <c r="AW97" s="71">
        <v>4000</v>
      </c>
      <c r="AX97" s="71">
        <v>4000</v>
      </c>
      <c r="AY97" s="71">
        <v>4000</v>
      </c>
      <c r="AZ97" s="71">
        <v>5000</v>
      </c>
      <c r="BA97" s="71">
        <v>5000</v>
      </c>
      <c r="BB97" s="71">
        <v>4000</v>
      </c>
      <c r="BC97" s="71"/>
      <c r="BD97" s="71"/>
      <c r="BE97" s="1424"/>
      <c r="BG97" s="43"/>
      <c r="BL97" s="43"/>
      <c r="BQ97" s="43"/>
    </row>
    <row r="98" spans="2:69">
      <c r="B98" s="1371"/>
      <c r="C98" s="1371"/>
      <c r="D98" s="1371"/>
      <c r="E98" s="1371"/>
      <c r="F98" s="1371"/>
      <c r="G98" s="71"/>
      <c r="H98" s="71"/>
      <c r="I98" s="71"/>
      <c r="J98" s="71"/>
      <c r="K98" s="71"/>
      <c r="L98" s="71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71"/>
      <c r="AH98" s="71"/>
      <c r="AI98" s="71"/>
      <c r="AJ98" s="71"/>
      <c r="AK98" s="71"/>
      <c r="AL98" s="71"/>
      <c r="AM98" s="71"/>
      <c r="AN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G98" s="43"/>
      <c r="BL98" s="43"/>
      <c r="BQ98" s="43"/>
    </row>
    <row r="99" spans="2:69">
      <c r="B99" s="1371"/>
      <c r="C99" s="1371"/>
      <c r="D99" s="1371"/>
      <c r="E99" s="1371"/>
      <c r="F99" s="1371"/>
      <c r="G99" s="71"/>
      <c r="H99" s="71"/>
      <c r="I99" s="71"/>
      <c r="J99" s="71"/>
      <c r="K99" s="71"/>
      <c r="L99" s="71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71"/>
      <c r="AH99" s="71"/>
      <c r="AI99" s="71"/>
      <c r="AJ99" s="71"/>
      <c r="AK99" s="71"/>
      <c r="AL99" s="71"/>
      <c r="AM99" s="71"/>
      <c r="AN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G99" s="43"/>
      <c r="BL99" s="43"/>
      <c r="BQ99" s="43"/>
    </row>
    <row r="100" spans="2:69" ht="13.5" thickBot="1">
      <c r="B100" s="1426" t="s">
        <v>1168</v>
      </c>
      <c r="C100" s="1426"/>
      <c r="D100" s="1426"/>
      <c r="E100" s="1426"/>
      <c r="F100" s="1426"/>
      <c r="G100" s="1426"/>
      <c r="H100" s="1426"/>
      <c r="I100" s="1426"/>
      <c r="J100" s="1426"/>
      <c r="K100" s="1426"/>
      <c r="L100" s="1426"/>
      <c r="M100" s="1426"/>
      <c r="N100" s="1426"/>
      <c r="O100" s="1426"/>
      <c r="P100" s="1426"/>
      <c r="Q100" s="1426"/>
      <c r="R100" s="1426"/>
      <c r="S100" s="1426"/>
      <c r="T100" s="1426"/>
      <c r="U100" s="1426"/>
      <c r="V100" s="1426"/>
      <c r="W100" s="1426"/>
      <c r="X100" s="1426"/>
      <c r="Y100" s="1426"/>
      <c r="Z100" s="1426"/>
      <c r="AA100" s="1426"/>
      <c r="AB100" s="1426"/>
      <c r="AC100" s="1426"/>
      <c r="AD100" s="1426"/>
      <c r="AE100" s="1426"/>
      <c r="AF100" s="1426"/>
      <c r="AG100" s="1426"/>
      <c r="AH100" s="1426"/>
      <c r="AI100" s="1426"/>
      <c r="AJ100" s="1426"/>
      <c r="AK100" s="1426"/>
      <c r="AL100" s="1426"/>
      <c r="AM100" s="1426"/>
      <c r="AN100" s="1426"/>
      <c r="AO100" s="1426"/>
      <c r="AP100" s="1426"/>
      <c r="AQ100" s="1426"/>
      <c r="AR100" s="1426"/>
      <c r="AS100" s="1426"/>
      <c r="AT100" s="1426"/>
      <c r="AU100" s="1426"/>
      <c r="AV100" s="1426"/>
      <c r="AW100" s="1426"/>
      <c r="AX100" s="1426"/>
      <c r="AY100" s="1426"/>
      <c r="AZ100" s="1426"/>
      <c r="BA100" s="1426"/>
      <c r="BB100" s="1426"/>
      <c r="BC100" s="1426"/>
      <c r="BD100" s="1426"/>
      <c r="BE100" s="1426"/>
      <c r="BG100" s="43"/>
      <c r="BL100" s="43"/>
      <c r="BQ100" s="43"/>
    </row>
    <row r="101" spans="2:69">
      <c r="B101" s="36" t="s">
        <v>1182</v>
      </c>
      <c r="G101" s="1414"/>
      <c r="L101" s="1414"/>
      <c r="Q101" s="1414"/>
      <c r="V101" s="1414"/>
      <c r="W101" s="26"/>
      <c r="X101" s="26"/>
      <c r="Y101" s="26"/>
      <c r="Z101" s="26"/>
      <c r="AA101" s="1422"/>
      <c r="AB101" s="26"/>
      <c r="AC101" s="26"/>
      <c r="AD101" s="26"/>
      <c r="AE101" s="26"/>
      <c r="AF101" s="1422"/>
      <c r="AG101" s="71"/>
      <c r="AH101" s="71"/>
      <c r="AI101" s="1512">
        <v>26.055</v>
      </c>
      <c r="AJ101" s="37">
        <v>324.90499999999997</v>
      </c>
      <c r="AK101" s="1513">
        <v>350.96</v>
      </c>
      <c r="AL101" s="37">
        <v>861.05640200000005</v>
      </c>
      <c r="AM101" s="37">
        <v>1453.5412462899999</v>
      </c>
      <c r="AN101" s="48">
        <v>2909.1264011540002</v>
      </c>
      <c r="AO101" s="37">
        <v>6019.777</v>
      </c>
      <c r="AP101" s="1422">
        <v>11243.635</v>
      </c>
      <c r="AQ101" s="71">
        <v>9596.9580000000005</v>
      </c>
      <c r="AR101" s="71">
        <v>7673.7370000000001</v>
      </c>
      <c r="AS101" s="71">
        <v>7244.7640000000001</v>
      </c>
      <c r="AT101" s="37">
        <v>9211.3420000000006</v>
      </c>
      <c r="AU101" s="1513">
        <v>33726.800999999999</v>
      </c>
      <c r="AV101" s="37">
        <v>9018.0370000000003</v>
      </c>
      <c r="AW101" s="37">
        <v>8694.1919999999991</v>
      </c>
      <c r="AX101" s="37">
        <v>17712.227999999999</v>
      </c>
      <c r="AY101" s="37">
        <v>11625.44</v>
      </c>
      <c r="AZ101" s="37">
        <v>16726.669000000002</v>
      </c>
      <c r="BA101" s="1513">
        <v>46064.338000000003</v>
      </c>
      <c r="BB101" s="37">
        <v>42865.856</v>
      </c>
      <c r="BC101" s="37"/>
      <c r="BD101" s="37"/>
      <c r="BE101" s="1513"/>
    </row>
    <row r="102" spans="2:69">
      <c r="B102" s="36" t="s">
        <v>1165</v>
      </c>
      <c r="G102" s="1414"/>
      <c r="L102" s="1414"/>
      <c r="Q102" s="1414"/>
      <c r="V102" s="1414"/>
      <c r="W102" s="26"/>
      <c r="X102" s="26"/>
      <c r="Y102" s="26"/>
      <c r="Z102" s="26"/>
      <c r="AA102" s="1422"/>
      <c r="AB102" s="26"/>
      <c r="AC102" s="26"/>
      <c r="AD102" s="26"/>
      <c r="AE102" s="26"/>
      <c r="AF102" s="1422"/>
      <c r="AG102" s="71"/>
      <c r="AH102" s="71"/>
      <c r="AI102" s="1512">
        <v>77</v>
      </c>
      <c r="AJ102" s="37">
        <v>3959</v>
      </c>
      <c r="AK102" s="1513">
        <v>2496</v>
      </c>
      <c r="AL102" s="37">
        <v>9500</v>
      </c>
      <c r="AM102" s="37">
        <v>14896</v>
      </c>
      <c r="AN102" s="48">
        <v>32646</v>
      </c>
      <c r="AO102" s="37">
        <v>62274</v>
      </c>
      <c r="AP102" s="1422">
        <v>29481</v>
      </c>
      <c r="AQ102" s="71">
        <v>94582</v>
      </c>
      <c r="AR102" s="71">
        <v>69240</v>
      </c>
      <c r="AS102" s="71">
        <v>60052</v>
      </c>
      <c r="AT102" s="37">
        <v>71084</v>
      </c>
      <c r="AU102" s="1513">
        <v>73638</v>
      </c>
      <c r="AV102" s="37">
        <v>71479</v>
      </c>
      <c r="AW102" s="37">
        <v>65667</v>
      </c>
      <c r="AX102" s="37">
        <v>68557</v>
      </c>
      <c r="AY102" s="37">
        <v>76512</v>
      </c>
      <c r="AZ102" s="37">
        <v>136015</v>
      </c>
      <c r="BA102" s="1513">
        <v>87565</v>
      </c>
      <c r="BB102" s="37">
        <v>172721</v>
      </c>
      <c r="BC102" s="37"/>
      <c r="BD102" s="37"/>
      <c r="BE102" s="1513"/>
    </row>
    <row r="103" spans="2:69">
      <c r="B103" s="36" t="s">
        <v>1166</v>
      </c>
      <c r="G103" s="1414"/>
      <c r="L103" s="1414"/>
      <c r="Q103" s="1414"/>
      <c r="V103" s="1414"/>
      <c r="W103" s="26"/>
      <c r="X103" s="26"/>
      <c r="Y103" s="26"/>
      <c r="Z103" s="26"/>
      <c r="AA103" s="1422"/>
      <c r="AB103" s="26"/>
      <c r="AC103" s="26"/>
      <c r="AD103" s="26"/>
      <c r="AE103" s="26"/>
      <c r="AF103" s="1422"/>
      <c r="AG103" s="71"/>
      <c r="AH103" s="71"/>
      <c r="AI103" s="1512">
        <v>900</v>
      </c>
      <c r="AJ103" s="37">
        <v>912</v>
      </c>
      <c r="AK103" s="1513">
        <v>925</v>
      </c>
      <c r="AL103" s="37">
        <v>1100</v>
      </c>
      <c r="AM103" s="37">
        <v>1072</v>
      </c>
      <c r="AN103" s="48">
        <v>969</v>
      </c>
      <c r="AO103" s="37">
        <v>1074</v>
      </c>
      <c r="AP103" s="1422">
        <v>1045</v>
      </c>
      <c r="AQ103" s="71">
        <v>1127</v>
      </c>
      <c r="AR103" s="71">
        <v>1218</v>
      </c>
      <c r="AS103" s="71">
        <v>1311</v>
      </c>
      <c r="AT103" s="37">
        <v>1409</v>
      </c>
      <c r="AU103" s="1513">
        <v>1255</v>
      </c>
      <c r="AV103" s="37">
        <v>1402</v>
      </c>
      <c r="AW103" s="37">
        <v>1455</v>
      </c>
      <c r="AX103" s="37">
        <v>1427</v>
      </c>
      <c r="AY103" s="37">
        <v>1652</v>
      </c>
      <c r="AZ103" s="37">
        <v>1337</v>
      </c>
      <c r="BA103" s="1513">
        <v>1441</v>
      </c>
      <c r="BB103" s="37">
        <v>1364</v>
      </c>
      <c r="BC103" s="37"/>
      <c r="BD103" s="37"/>
      <c r="BE103" s="1513"/>
    </row>
    <row r="104" spans="2:69">
      <c r="B104" s="36" t="s">
        <v>1167</v>
      </c>
      <c r="G104" s="1414"/>
      <c r="L104" s="1414"/>
      <c r="Q104" s="1414"/>
      <c r="V104" s="1414"/>
      <c r="W104" s="26"/>
      <c r="X104" s="26"/>
      <c r="Y104" s="26"/>
      <c r="Z104" s="26"/>
      <c r="AA104" s="1422"/>
      <c r="AB104" s="26"/>
      <c r="AC104" s="26"/>
      <c r="AD104" s="26"/>
      <c r="AE104" s="26"/>
      <c r="AF104" s="1422"/>
      <c r="AG104" s="71"/>
      <c r="AH104" s="71"/>
      <c r="AI104" s="1512">
        <v>130</v>
      </c>
      <c r="AJ104" s="37">
        <v>1290</v>
      </c>
      <c r="AK104" s="1513">
        <v>1290</v>
      </c>
      <c r="AL104" s="37">
        <v>1300</v>
      </c>
      <c r="AM104" s="37">
        <v>2000</v>
      </c>
      <c r="AN104" s="48">
        <v>2700</v>
      </c>
      <c r="AO104" s="37">
        <v>4490</v>
      </c>
      <c r="AP104" s="1422">
        <v>4490</v>
      </c>
      <c r="AQ104" s="71">
        <v>8500</v>
      </c>
      <c r="AR104" s="71">
        <v>11540</v>
      </c>
      <c r="AS104" s="71">
        <v>12447</v>
      </c>
      <c r="AT104" s="37">
        <v>12198</v>
      </c>
      <c r="AU104" s="1513">
        <v>12198</v>
      </c>
      <c r="AV104" s="37">
        <v>12821</v>
      </c>
      <c r="AW104" s="37">
        <v>13098</v>
      </c>
      <c r="AX104" s="37">
        <v>13098</v>
      </c>
      <c r="AY104" s="37">
        <v>20156</v>
      </c>
      <c r="AZ104" s="37">
        <v>22954</v>
      </c>
      <c r="BA104" s="1513">
        <v>22954</v>
      </c>
      <c r="BB104" s="37">
        <v>26543</v>
      </c>
      <c r="BC104" s="37"/>
      <c r="BD104" s="37"/>
      <c r="BE104" s="1513"/>
    </row>
    <row r="106" spans="2:69">
      <c r="BB106" s="1542"/>
    </row>
    <row r="107" spans="2:69">
      <c r="BB107" s="1542"/>
    </row>
    <row r="108" spans="2:69">
      <c r="BB108" s="1542"/>
    </row>
    <row r="109" spans="2:69">
      <c r="BB109" s="1542"/>
    </row>
    <row r="110" spans="2:69">
      <c r="BB110" s="1542"/>
    </row>
  </sheetData>
  <hyperlinks>
    <hyperlink ref="B4" location="'Cover list'!A1" display="&gt;&gt;  Content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3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Cover list</vt:lpstr>
      <vt:lpstr>BS</vt:lpstr>
      <vt:lpstr>P&amp;L</vt:lpstr>
      <vt:lpstr>P&amp;L quarterly</vt:lpstr>
      <vt:lpstr>CF</vt:lpstr>
      <vt:lpstr>Debt </vt:lpstr>
      <vt:lpstr>Bonds</vt:lpstr>
      <vt:lpstr>Ratings </vt:lpstr>
      <vt:lpstr>Operating results</vt:lpstr>
      <vt:lpstr>Geographical coverage </vt:lpstr>
      <vt:lpstr>Logistics coverage</vt:lpstr>
      <vt:lpstr>Archive (old data book)</vt:lpstr>
      <vt:lpstr>'Operating results'!_ftn3</vt:lpstr>
      <vt:lpstr>'Operating results'!_ftnref1</vt:lpstr>
      <vt:lpstr>'Operating results'!_ftnref2</vt:lpstr>
      <vt:lpstr>'P&amp;L'!OLE_LINK4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2024-01-30T18:30:35Z</dcterms:created>
  <dcterms:modified xsi:type="dcterms:W3CDTF">2024-08-30T14:07:39Z</dcterms:modified>
  <cp:category/>
</cp:coreProperties>
</file>